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Income Statement" sheetId="3" state="visible" r:id="rId5"/>
    <sheet name="Cash Flow Statement" sheetId="4" state="visible" r:id="rId6"/>
    <sheet name="Balance Sheet" sheetId="5" state="visible" r:id="rId7"/>
    <sheet name="WACC" sheetId="6" state="visible" r:id="rId8"/>
    <sheet name="DCF Valuation"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<sst xmlns="http://schemas.openxmlformats.org/spreadsheetml/2006/main" count="179" uniqueCount="132">
  <si>
    <t xml:space="preserve">AVG Logistics</t>
  </si>
  <si>
    <t xml:space="preserve">Three-Statement Financial Model &amp; DCF Valuation</t>
  </si>
  <si>
    <t xml:space="preserve">Currency: INR Crores  |  Timeline: FY22A–FY31E  |  Prepared by MNB Research</t>
  </si>
  <si>
    <t xml:space="preserve">Contents</t>
  </si>
  <si>
    <t xml:space="preserve">Assumptions</t>
  </si>
  <si>
    <t xml:space="preserve">Income Statement</t>
  </si>
  <si>
    <t xml:space="preserve">Balance Sheet</t>
  </si>
  <si>
    <t xml:space="preserve">Cash Flow Statement</t>
  </si>
  <si>
    <t xml:space="preserve">WACC</t>
  </si>
  <si>
    <t xml:space="preserve">DCF Valuation</t>
  </si>
  <si>
    <t xml:space="preserve">Headline Valuation Outputs</t>
  </si>
  <si>
    <t xml:space="preserve">Cost of equity (Ke)</t>
  </si>
  <si>
    <t xml:space="preserve">Enterprise Value (INR Cr)</t>
  </si>
  <si>
    <t xml:space="preserve">Equity Value (INR Cr)</t>
  </si>
  <si>
    <t xml:space="preserve">Implied value per share (INR)</t>
  </si>
  <si>
    <t xml:space="preserve">Disclaimer</t>
  </si>
  <si>
    <t xml:space="preserve">This model is illustrative. Historical actuals (FY22A–FY25A) are calibrated approximations and forecast figures are illustrative, calibrated approximations intended to demonstrate methodology. They are not audited financials and should be replaced with filed figures (BSE/annual report) before any reliance. For analytical and demonstration purposes only.</t>
  </si>
  <si>
    <t xml:space="preserve">AVG Logistics — Model Assumptions</t>
  </si>
  <si>
    <t xml:space="preserve">All figures in INR Crores unless stated. Blue = input, Black = formula, Green = cross-sheet link.</t>
  </si>
  <si>
    <t xml:space="preserve">Driver</t>
  </si>
  <si>
    <t xml:space="preserve">FY22A</t>
  </si>
  <si>
    <t xml:space="preserve">FY23A</t>
  </si>
  <si>
    <t xml:space="preserve">FY24A</t>
  </si>
  <si>
    <t xml:space="preserve">FY25A</t>
  </si>
  <si>
    <t xml:space="preserve">FY26E</t>
  </si>
  <si>
    <t xml:space="preserve">FY27E</t>
  </si>
  <si>
    <t xml:space="preserve">FY28E</t>
  </si>
  <si>
    <t xml:space="preserve">FY29E</t>
  </si>
  <si>
    <t xml:space="preserve">FY30E</t>
  </si>
  <si>
    <t xml:space="preserve">FY31E</t>
  </si>
  <si>
    <t xml:space="preserve">Note: Historical actuals are illustrative, calibrated approximations.</t>
  </si>
  <si>
    <t xml:space="preserve">Revenue Build</t>
  </si>
  <si>
    <t xml:space="preserve">Revenue (INR Cr)</t>
  </si>
  <si>
    <t xml:space="preserve">Revenue growth %</t>
  </si>
  <si>
    <t xml:space="preserve">Operating Margins &amp; Capital Intensity</t>
  </si>
  <si>
    <t xml:space="preserve">EBIT margin %</t>
  </si>
  <si>
    <t xml:space="preserve">Depreciation % of revenue</t>
  </si>
  <si>
    <t xml:space="preserve">Capex % of revenue</t>
  </si>
  <si>
    <t xml:space="preserve">Net working capital % of revenue</t>
  </si>
  <si>
    <t xml:space="preserve">Financing &amp; Tax</t>
  </si>
  <si>
    <t xml:space="preserve">Interest rate on debt %</t>
  </si>
  <si>
    <t xml:space="preserve">Total debt (year-end)</t>
  </si>
  <si>
    <t xml:space="preserve">Effective tax rate %</t>
  </si>
  <si>
    <t xml:space="preserve">Dividend payout %</t>
  </si>
  <si>
    <t xml:space="preserve">Opening Balances (FY21, pre-forecast)</t>
  </si>
  <si>
    <t xml:space="preserve">Opening cash</t>
  </si>
  <si>
    <t xml:space="preserve">Opening debt</t>
  </si>
  <si>
    <t xml:space="preserve">Opening PPE (net)</t>
  </si>
  <si>
    <t xml:space="preserve">Opening net working capital</t>
  </si>
  <si>
    <t xml:space="preserve">Opening shareholders equity</t>
  </si>
  <si>
    <t xml:space="preserve">Shares outstanding (Cr)</t>
  </si>
  <si>
    <t xml:space="preserve">AVG Logistics — Income Statement</t>
  </si>
  <si>
    <t xml:space="preserve">INR Crores. Green = links to Assumptions.</t>
  </si>
  <si>
    <t xml:space="preserve">Revenue</t>
  </si>
  <si>
    <t xml:space="preserve">EBIT</t>
  </si>
  <si>
    <t xml:space="preserve">Depreciation</t>
  </si>
  <si>
    <t xml:space="preserve">EBITDA</t>
  </si>
  <si>
    <t xml:space="preserve">Interest expense</t>
  </si>
  <si>
    <t xml:space="preserve">Profit before tax</t>
  </si>
  <si>
    <t xml:space="preserve">Tax</t>
  </si>
  <si>
    <t xml:space="preserve">Net income</t>
  </si>
  <si>
    <t xml:space="preserve">Dividends</t>
  </si>
  <si>
    <t xml:space="preserve">Retained earnings</t>
  </si>
  <si>
    <t xml:space="preserve">EBITDA margin %</t>
  </si>
  <si>
    <t xml:space="preserve">Net margin %</t>
  </si>
  <si>
    <t xml:space="preserve">AVG Logistics — Cash Flow Statement</t>
  </si>
  <si>
    <t xml:space="preserve">INR Crores. Indirect method.</t>
  </si>
  <si>
    <t xml:space="preserve">Operating Activities</t>
  </si>
  <si>
    <t xml:space="preserve">Add: Depreciation</t>
  </si>
  <si>
    <t xml:space="preserve">Less: Increase in NWC</t>
  </si>
  <si>
    <t xml:space="preserve">Cash flow from operations</t>
  </si>
  <si>
    <t xml:space="preserve">Investing Activities</t>
  </si>
  <si>
    <t xml:space="preserve">Capex</t>
  </si>
  <si>
    <t xml:space="preserve">Cash flow from investing</t>
  </si>
  <si>
    <t xml:space="preserve">Financing Activities</t>
  </si>
  <si>
    <t xml:space="preserve">Change in debt</t>
  </si>
  <si>
    <t xml:space="preserve">Dividends paid</t>
  </si>
  <si>
    <t xml:space="preserve">Cash flow from financing</t>
  </si>
  <si>
    <t xml:space="preserve">Net change in cash</t>
  </si>
  <si>
    <t xml:space="preserve">Closing cash</t>
  </si>
  <si>
    <t xml:space="preserve">AVG Logistics — Balance Sheet</t>
  </si>
  <si>
    <t xml:space="preserve">INR Crores. Cash is the plug; balance check = 0 every year.</t>
  </si>
  <si>
    <t xml:space="preserve">Assets</t>
  </si>
  <si>
    <t xml:space="preserve">Cash &amp; equivalents</t>
  </si>
  <si>
    <t xml:space="preserve">Net working capital</t>
  </si>
  <si>
    <t xml:space="preserve">Property, plant &amp; equipment (net)</t>
  </si>
  <si>
    <t xml:space="preserve">Total assets</t>
  </si>
  <si>
    <t xml:space="preserve">Liabilities &amp; Equity</t>
  </si>
  <si>
    <t xml:space="preserve">Total debt</t>
  </si>
  <si>
    <t xml:space="preserve">Shareholders equity</t>
  </si>
  <si>
    <t xml:space="preserve">Total liabilities &amp; equity</t>
  </si>
  <si>
    <t xml:space="preserve">Balance check (Assets - L&amp;E)</t>
  </si>
  <si>
    <t xml:space="preserve">AVG Logistics — WACC (CAPM Build)</t>
  </si>
  <si>
    <t xml:space="preserve">Cost of capital built from first principles.</t>
  </si>
  <si>
    <t xml:space="preserve">Cost of Equity (CAPM)</t>
  </si>
  <si>
    <t xml:space="preserve">Risk-free rate (Rf)</t>
  </si>
  <si>
    <t xml:space="preserve">10Y G-Sec, illustrative</t>
  </si>
  <si>
    <t xml:space="preserve">Beta (levered)</t>
  </si>
  <si>
    <t xml:space="preserve">Logistics sector beta</t>
  </si>
  <si>
    <t xml:space="preserve">Equity risk premium (ERP)</t>
  </si>
  <si>
    <t xml:space="preserve">India equity risk premium</t>
  </si>
  <si>
    <t xml:space="preserve">Size premium</t>
  </si>
  <si>
    <t xml:space="preserve">Mid-cap size premium</t>
  </si>
  <si>
    <t xml:space="preserve">Cost of equity (Ke) = Rf + Beta*ERP + Size</t>
  </si>
  <si>
    <t xml:space="preserve">Cost of Debt</t>
  </si>
  <si>
    <t xml:space="preserve">Pre-tax cost of debt (Kd)</t>
  </si>
  <si>
    <t xml:space="preserve">Tax rate</t>
  </si>
  <si>
    <t xml:space="preserve">After-tax cost of debt = Kd*(1-tax)</t>
  </si>
  <si>
    <t xml:space="preserve">Capital Structure Weights</t>
  </si>
  <si>
    <t xml:space="preserve">Weight of equity (E/V)</t>
  </si>
  <si>
    <t xml:space="preserve">Weight of debt (D/V) = 1 - E/V</t>
  </si>
  <si>
    <t xml:space="preserve">Weighted Average Cost of Capital</t>
  </si>
  <si>
    <t xml:space="preserve">WACC = We*Ke + Wd*Kd_at</t>
  </si>
  <si>
    <t xml:space="preserve">Target WACC = 15.30% (auditable from inputs above)</t>
  </si>
  <si>
    <t xml:space="preserve">AVG Logistics — DCF Valuation</t>
  </si>
  <si>
    <t xml:space="preserve">INR Crores. Unlevered FCFF discounted at WACC. Forecast FY26E–FY31E.</t>
  </si>
  <si>
    <t xml:space="preserve">Forecast period</t>
  </si>
  <si>
    <t xml:space="preserve">NOPAT = EBIT*(1-tax)</t>
  </si>
  <si>
    <t xml:space="preserve">Less: Capex</t>
  </si>
  <si>
    <t xml:space="preserve">Unlevered FCFF</t>
  </si>
  <si>
    <t xml:space="preserve">Discount period (t)</t>
  </si>
  <si>
    <t xml:space="preserve">Discount factor = 1/(1+WACC)^t</t>
  </si>
  <si>
    <t xml:space="preserve">PV of FCFF</t>
  </si>
  <si>
    <t xml:space="preserve">Valuation Summary (INR Cr)</t>
  </si>
  <si>
    <t xml:space="preserve">WACC (used)</t>
  </si>
  <si>
    <t xml:space="preserve">Terminal growth rate (g)</t>
  </si>
  <si>
    <t xml:space="preserve">Sum of PV of explicit FCFF</t>
  </si>
  <si>
    <t xml:space="preserve">Terminal value = FCFF(FY31)*(1+g)/(WACC-g)</t>
  </si>
  <si>
    <t xml:space="preserve">PV of terminal value</t>
  </si>
  <si>
    <t xml:space="preserve">Enterprise Value (EV)</t>
  </si>
  <si>
    <t xml:space="preserve">Less: Net debt (FY25A)</t>
  </si>
  <si>
    <t xml:space="preserve">Equity Value</t>
  </si>
</sst>
</file>

<file path=xl/styles.xml><?xml version="1.0" encoding="utf-8"?>
<styleSheet xmlns="http://schemas.openxmlformats.org/spreadsheetml/2006/main">
  <numFmts count="8">
    <numFmt numFmtId="164" formatCode="General"/>
    <numFmt numFmtId="165" formatCode="0.00%"/>
    <numFmt numFmtId="166" formatCode="#,##0.0;\(#,##0.0\);\-"/>
    <numFmt numFmtId="167" formatCode="&quot;INR &quot;#,##0.00"/>
    <numFmt numFmtId="168" formatCode="0.0%;\(0.0%\);\-"/>
    <numFmt numFmtId="169" formatCode="0.00"/>
    <numFmt numFmtId="170" formatCode="0"/>
    <numFmt numFmtId="171" formatCode="0.000"/>
  </numFmts>
  <fonts count="15">
    <font>
      <sz val="11"/>
      <color theme="1"/>
      <name val="Calibri"/>
      <family val="2"/>
      <charset val="1"/>
    </font>
    <font>
      <sz val="10"/>
      <name val="Arial"/>
      <family val="0"/>
    </font>
    <font>
      <sz val="10"/>
      <name val="Arial"/>
      <family val="0"/>
    </font>
    <font>
      <sz val="10"/>
      <name val="Arial"/>
      <family val="0"/>
    </font>
    <font>
      <b val="true"/>
      <sz val="26"/>
      <color rgb="FF1F3864"/>
      <name val="Arial"/>
      <family val="0"/>
      <charset val="1"/>
    </font>
    <font>
      <sz val="14"/>
      <color rgb="FF404040"/>
      <name val="Arial"/>
      <family val="0"/>
      <charset val="1"/>
    </font>
    <font>
      <i val="true"/>
      <sz val="11"/>
      <color rgb="FF404040"/>
      <name val="Arial"/>
      <family val="0"/>
      <charset val="1"/>
    </font>
    <font>
      <b val="true"/>
      <sz val="10"/>
      <color rgb="FF000000"/>
      <name val="Arial"/>
      <family val="0"/>
      <charset val="1"/>
    </font>
    <font>
      <u val="single"/>
      <sz val="11"/>
      <color rgb="FF0563C1"/>
      <name val="Arial"/>
      <family val="0"/>
      <charset val="1"/>
    </font>
    <font>
      <sz val="10"/>
      <color rgb="FF000000"/>
      <name val="Arial"/>
      <family val="0"/>
      <charset val="1"/>
    </font>
    <font>
      <sz val="10"/>
      <color rgb="FF008000"/>
      <name val="Arial"/>
      <family val="0"/>
      <charset val="1"/>
    </font>
    <font>
      <b val="true"/>
      <sz val="18"/>
      <color rgb="FF1F3864"/>
      <name val="Arial"/>
      <family val="0"/>
      <charset val="1"/>
    </font>
    <font>
      <b val="true"/>
      <sz val="10"/>
      <color rgb="FFFFFFFF"/>
      <name val="Arial"/>
      <family val="0"/>
      <charset val="1"/>
    </font>
    <font>
      <b val="true"/>
      <sz val="11"/>
      <color rgb="FFFFFFFF"/>
      <name val="Arial"/>
      <family val="0"/>
      <charset val="1"/>
    </font>
    <font>
      <sz val="10"/>
      <color rgb="FF0000FF"/>
      <name val="Arial"/>
      <family val="0"/>
      <charset val="1"/>
    </font>
  </fonts>
  <fills count="4">
    <fill>
      <patternFill patternType="none"/>
    </fill>
    <fill>
      <patternFill patternType="gray125"/>
    </fill>
    <fill>
      <patternFill patternType="solid">
        <fgColor rgb="FFDDEBF7"/>
        <bgColor rgb="FFCCFFFF"/>
      </patternFill>
    </fill>
    <fill>
      <patternFill patternType="solid">
        <fgColor rgb="FF1F3864"/>
        <bgColor rgb="FF333399"/>
      </patternFill>
    </fill>
  </fills>
  <borders count="4">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right/>
      <top style="thin"/>
      <bottom/>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10" fillId="2" borderId="1" xfId="0" applyFont="true" applyBorder="true" applyAlignment="true" applyProtection="false">
      <alignment horizontal="right" vertical="bottom" textRotation="0" wrapText="false" indent="0" shrinkToFit="false"/>
      <protection locked="true" hidden="false"/>
    </xf>
    <xf numFmtId="166" fontId="10" fillId="2" borderId="1" xfId="0" applyFont="true" applyBorder="true" applyAlignment="true" applyProtection="false">
      <alignment horizontal="right" vertical="bottom" textRotation="0" wrapText="false" indent="0" shrinkToFit="false"/>
      <protection locked="true" hidden="false"/>
    </xf>
    <xf numFmtId="167" fontId="10" fillId="2" borderId="1"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1" xfId="0" applyFont="true" applyBorder="true" applyAlignment="true" applyProtection="false">
      <alignment horizontal="center" vertical="bottom"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6" fontId="14" fillId="0" borderId="1" xfId="0" applyFont="true" applyBorder="true" applyAlignment="false" applyProtection="false">
      <alignment horizontal="general" vertical="bottom" textRotation="0" wrapText="false" indent="0" shrinkToFit="false"/>
      <protection locked="true" hidden="false"/>
    </xf>
    <xf numFmtId="166" fontId="9" fillId="0" borderId="1" xfId="0" applyFont="tru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8" fontId="9" fillId="0" borderId="1" xfId="0" applyFont="true" applyBorder="true" applyAlignment="false" applyProtection="false">
      <alignment horizontal="general" vertical="bottom" textRotation="0" wrapText="false" indent="0" shrinkToFit="false"/>
      <protection locked="true" hidden="false"/>
    </xf>
    <xf numFmtId="168" fontId="14" fillId="0" borderId="1" xfId="0" applyFont="true" applyBorder="true" applyAlignment="false" applyProtection="false">
      <alignment horizontal="general" vertical="bottom" textRotation="0" wrapText="false" indent="0" shrinkToFit="false"/>
      <protection locked="true" hidden="false"/>
    </xf>
    <xf numFmtId="166" fontId="10" fillId="0" borderId="1"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false" applyProtection="false">
      <alignment horizontal="general" vertical="bottom" textRotation="0" wrapText="false" indent="0" shrinkToFit="false"/>
      <protection locked="true" hidden="false"/>
    </xf>
    <xf numFmtId="166" fontId="9" fillId="0" borderId="2" xfId="0" applyFont="true" applyBorder="true" applyAlignment="false" applyProtection="false">
      <alignment horizontal="general" vertical="bottom" textRotation="0" wrapText="false" indent="0" shrinkToFit="false"/>
      <protection locked="true" hidden="false"/>
    </xf>
    <xf numFmtId="166" fontId="9" fillId="0" borderId="3" xfId="0" applyFont="true" applyBorder="true" applyAlignment="false" applyProtection="false">
      <alignment horizontal="general" vertical="bottom" textRotation="0" wrapText="false" indent="0" shrinkToFit="false"/>
      <protection locked="true" hidden="false"/>
    </xf>
    <xf numFmtId="165" fontId="14" fillId="0" borderId="1" xfId="0" applyFont="true" applyBorder="true" applyAlignment="true" applyProtection="false">
      <alignment horizontal="right" vertical="bottom" textRotation="0" wrapText="false" indent="0" shrinkToFit="false"/>
      <protection locked="true" hidden="false"/>
    </xf>
    <xf numFmtId="169" fontId="14" fillId="0" borderId="1" xfId="0" applyFont="true" applyBorder="true" applyAlignment="true" applyProtection="false">
      <alignment horizontal="right" vertical="bottom" textRotation="0" wrapText="false" indent="0" shrinkToFit="false"/>
      <protection locked="true" hidden="false"/>
    </xf>
    <xf numFmtId="165" fontId="9" fillId="0" borderId="2" xfId="0" applyFont="true" applyBorder="true" applyAlignment="true" applyProtection="false">
      <alignment horizontal="right" vertical="bottom" textRotation="0" wrapText="false" indent="0" shrinkToFit="false"/>
      <protection locked="true" hidden="false"/>
    </xf>
    <xf numFmtId="165" fontId="9" fillId="0" borderId="1" xfId="0" applyFont="true" applyBorder="true" applyAlignment="true" applyProtection="false">
      <alignment horizontal="right" vertical="bottom" textRotation="0" wrapText="false" indent="0" shrinkToFit="false"/>
      <protection locked="true" hidden="false"/>
    </xf>
    <xf numFmtId="165" fontId="9" fillId="0" borderId="3" xfId="0" applyFont="true" applyBorder="true" applyAlignment="true" applyProtection="false">
      <alignment horizontal="right" vertical="bottom" textRotation="0" wrapText="false" indent="0" shrinkToFit="false"/>
      <protection locked="true" hidden="false"/>
    </xf>
    <xf numFmtId="170" fontId="14" fillId="0" borderId="1" xfId="0" applyFont="true" applyBorder="true" applyAlignment="false" applyProtection="false">
      <alignment horizontal="general" vertical="bottom" textRotation="0" wrapText="false" indent="0" shrinkToFit="false"/>
      <protection locked="true" hidden="false"/>
    </xf>
    <xf numFmtId="171" fontId="9" fillId="0" borderId="1" xfId="0" applyFont="true" applyBorder="true" applyAlignment="false" applyProtection="false">
      <alignment horizontal="general"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6" fontId="9" fillId="0" borderId="1" xfId="0" applyFont="true" applyBorder="true" applyAlignment="true" applyProtection="false">
      <alignment horizontal="right" vertical="bottom" textRotation="0" wrapText="false" indent="0" shrinkToFit="false"/>
      <protection locked="true" hidden="false"/>
    </xf>
    <xf numFmtId="166" fontId="7" fillId="0" borderId="3" xfId="0" applyFont="true" applyBorder="true" applyAlignment="true" applyProtection="false">
      <alignment horizontal="right" vertical="bottom" textRotation="0" wrapText="false" indent="0" shrinkToFit="false"/>
      <protection locked="true" hidden="false"/>
    </xf>
    <xf numFmtId="166" fontId="10" fillId="0" borderId="1" xfId="0" applyFont="true" applyBorder="true" applyAlignment="true" applyProtection="false">
      <alignment horizontal="right" vertical="bottom" textRotation="0" wrapText="false" indent="0" shrinkToFit="false"/>
      <protection locked="true" hidden="false"/>
    </xf>
    <xf numFmtId="167" fontId="7" fillId="0" borderId="3"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D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sessions/nifty-gracious-ptolemy/mnt/outputs/AVG_Logistics_Financial_Model_DCF.xlsx" TargetMode="External"/><Relationship Id="rId2" Type="http://schemas.openxmlformats.org/officeDocument/2006/relationships/hyperlink" Target="../../sessions/nifty-gracious-ptolemy/mnt/outputs/AVG_Logistics_Financial_Model_DCF.xlsx" TargetMode="External"/><Relationship Id="rId3" Type="http://schemas.openxmlformats.org/officeDocument/2006/relationships/hyperlink" Target="../../sessions/nifty-gracious-ptolemy/mnt/outputs/AVG_Logistics_Financial_Model_DCF.xlsx" TargetMode="External"/><Relationship Id="rId4" Type="http://schemas.openxmlformats.org/officeDocument/2006/relationships/hyperlink" Target="../../sessions/nifty-gracious-ptolemy/mnt/outputs/AVG_Logistics_Financial_Model_DCF.xlsx" TargetMode="External"/><Relationship Id="rId5" Type="http://schemas.openxmlformats.org/officeDocument/2006/relationships/hyperlink" Target="../../sessions/nifty-gracious-ptolemy/mnt/outputs/AVG_Logistics_Financial_Model_DCF.xlsx" TargetMode="External"/><Relationship Id="rId6" Type="http://schemas.openxmlformats.org/officeDocument/2006/relationships/hyperlink" Target="../../sessions/nifty-gracious-ptolemy/mnt/outputs/AVG_Logistics_Financial_Model_DCF.xls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3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46"/>
    <col collapsed="false" customWidth="true" hidden="false" outlineLevel="0" max="3" min="3" style="0" width="30"/>
  </cols>
  <sheetData>
    <row r="1" customFormat="false" ht="18" hidden="false" customHeight="true" outlineLevel="0" collapsed="false"/>
    <row r="2" customFormat="false" ht="18" hidden="false" customHeight="true" outlineLevel="0" collapsed="false">
      <c r="B2" s="1" t="s">
        <v>0</v>
      </c>
    </row>
    <row r="3" customFormat="false" ht="18" hidden="false" customHeight="true" outlineLevel="0" collapsed="false">
      <c r="B3" s="2" t="s">
        <v>1</v>
      </c>
    </row>
    <row r="4" customFormat="false" ht="18" hidden="false" customHeight="true" outlineLevel="0" collapsed="false">
      <c r="B4" s="3" t="s">
        <v>2</v>
      </c>
    </row>
    <row r="5" customFormat="false" ht="18" hidden="false" customHeight="true" outlineLevel="0" collapsed="false"/>
    <row r="6" customFormat="false" ht="18" hidden="false" customHeight="true" outlineLevel="0" collapsed="false">
      <c r="B6" s="4" t="s">
        <v>3</v>
      </c>
    </row>
    <row r="7" customFormat="false" ht="18" hidden="false" customHeight="true" outlineLevel="0" collapsed="false">
      <c r="B7" s="5" t="s">
        <v>4</v>
      </c>
    </row>
    <row r="8" customFormat="false" ht="18" hidden="false" customHeight="true" outlineLevel="0" collapsed="false">
      <c r="B8" s="5" t="s">
        <v>5</v>
      </c>
    </row>
    <row r="9" customFormat="false" ht="18" hidden="false" customHeight="true" outlineLevel="0" collapsed="false">
      <c r="B9" s="5" t="s">
        <v>6</v>
      </c>
    </row>
    <row r="10" customFormat="false" ht="18" hidden="false" customHeight="true" outlineLevel="0" collapsed="false">
      <c r="B10" s="5" t="s">
        <v>7</v>
      </c>
    </row>
    <row r="11" customFormat="false" ht="18" hidden="false" customHeight="true" outlineLevel="0" collapsed="false">
      <c r="B11" s="5" t="s">
        <v>8</v>
      </c>
    </row>
    <row r="12" customFormat="false" ht="18" hidden="false" customHeight="true" outlineLevel="0" collapsed="false">
      <c r="B12" s="5" t="s">
        <v>9</v>
      </c>
    </row>
    <row r="13" customFormat="false" ht="18" hidden="false" customHeight="true" outlineLevel="0" collapsed="false"/>
    <row r="14" customFormat="false" ht="18" hidden="false" customHeight="true" outlineLevel="0" collapsed="false"/>
    <row r="15" customFormat="false" ht="18" hidden="false" customHeight="true" outlineLevel="0" collapsed="false">
      <c r="B15" s="4" t="s">
        <v>10</v>
      </c>
    </row>
    <row r="16" customFormat="false" ht="18" hidden="false" customHeight="true" outlineLevel="0" collapsed="false">
      <c r="B16" s="6" t="s">
        <v>11</v>
      </c>
      <c r="C16" s="7" t="n">
        <f aca="false">WACC!C10</f>
        <v>0.1735</v>
      </c>
    </row>
    <row r="17" customFormat="false" ht="18" hidden="false" customHeight="true" outlineLevel="0" collapsed="false">
      <c r="B17" s="6" t="s">
        <v>8</v>
      </c>
      <c r="C17" s="7" t="n">
        <f aca="false">WACC!C22</f>
        <v>0.153</v>
      </c>
    </row>
    <row r="18" customFormat="false" ht="18" hidden="false" customHeight="true" outlineLevel="0" collapsed="false">
      <c r="B18" s="6" t="s">
        <v>12</v>
      </c>
      <c r="C18" s="8" t="n">
        <f aca="false">'DCF Valuation'!C25</f>
        <v>932.340885646933</v>
      </c>
    </row>
    <row r="19" customFormat="false" ht="18" hidden="false" customHeight="true" outlineLevel="0" collapsed="false">
      <c r="B19" s="6" t="s">
        <v>13</v>
      </c>
      <c r="C19" s="8" t="n">
        <f aca="false">'DCF Valuation'!C27</f>
        <v>824.656885646933</v>
      </c>
    </row>
    <row r="20" customFormat="false" ht="18" hidden="false" customHeight="true" outlineLevel="0" collapsed="false">
      <c r="B20" s="6" t="s">
        <v>14</v>
      </c>
      <c r="C20" s="9" t="n">
        <f aca="false">'DCF Valuation'!C29</f>
        <v>65.9725508517547</v>
      </c>
    </row>
    <row r="21" customFormat="false" ht="18" hidden="false" customHeight="true" outlineLevel="0" collapsed="false"/>
    <row r="22" customFormat="false" ht="18" hidden="false" customHeight="true" outlineLevel="0" collapsed="false"/>
    <row r="23" customFormat="false" ht="18" hidden="false" customHeight="true" outlineLevel="0" collapsed="false">
      <c r="B23" s="4" t="s">
        <v>15</v>
      </c>
    </row>
    <row r="24" customFormat="false" ht="18" hidden="false" customHeight="true" outlineLevel="0" collapsed="false">
      <c r="B24" s="10" t="s">
        <v>16</v>
      </c>
      <c r="C24" s="10"/>
      <c r="D24" s="10"/>
      <c r="E24" s="10"/>
      <c r="F24" s="10"/>
      <c r="G24" s="10"/>
      <c r="H24" s="10"/>
    </row>
    <row r="25" customFormat="false" ht="18" hidden="false" customHeight="true" outlineLevel="0" collapsed="false">
      <c r="B25" s="10"/>
      <c r="C25" s="10"/>
      <c r="D25" s="10"/>
      <c r="E25" s="10"/>
      <c r="F25" s="10"/>
      <c r="G25" s="10"/>
      <c r="H25" s="10"/>
    </row>
    <row r="26" customFormat="false" ht="18" hidden="false" customHeight="true" outlineLevel="0" collapsed="false">
      <c r="B26" s="10"/>
      <c r="C26" s="10"/>
      <c r="D26" s="10"/>
      <c r="E26" s="10"/>
      <c r="F26" s="10"/>
      <c r="G26" s="10"/>
      <c r="H26" s="10"/>
    </row>
    <row r="27" customFormat="false" ht="18" hidden="false" customHeight="true" outlineLevel="0" collapsed="false">
      <c r="B27" s="10"/>
      <c r="C27" s="10"/>
      <c r="D27" s="10"/>
      <c r="E27" s="10"/>
      <c r="F27" s="10"/>
      <c r="G27" s="10"/>
      <c r="H27" s="10"/>
    </row>
    <row r="28" customFormat="false" ht="18" hidden="false" customHeight="true" outlineLevel="0" collapsed="false">
      <c r="B28" s="10"/>
      <c r="C28" s="10"/>
      <c r="D28" s="10"/>
      <c r="E28" s="10"/>
      <c r="F28" s="10"/>
      <c r="G28" s="10"/>
      <c r="H28" s="10"/>
    </row>
    <row r="29" customFormat="false" ht="18" hidden="false" customHeight="true" outlineLevel="0" collapsed="false">
      <c r="B29" s="10"/>
      <c r="C29" s="10"/>
      <c r="D29" s="10"/>
      <c r="E29" s="10"/>
      <c r="F29" s="10"/>
      <c r="G29" s="10"/>
      <c r="H29" s="10"/>
    </row>
    <row r="30" customFormat="false" ht="18" hidden="false" customHeight="true" outlineLevel="0" collapsed="false">
      <c r="B30" s="10"/>
      <c r="C30" s="10"/>
      <c r="D30" s="10"/>
      <c r="E30" s="10"/>
      <c r="F30" s="10"/>
      <c r="G30" s="10"/>
      <c r="H30" s="10"/>
    </row>
    <row r="31" customFormat="false" ht="18" hidden="false" customHeight="true" outlineLevel="0" collapsed="false"/>
    <row r="32" customFormat="false" ht="18" hidden="false" customHeight="true" outlineLevel="0" collapsed="false"/>
    <row r="33" customFormat="false" ht="18" hidden="false" customHeight="true" outlineLevel="0" collapsed="false"/>
    <row r="34" customFormat="false" ht="18" hidden="false" customHeight="true" outlineLevel="0" collapsed="false"/>
    <row r="35" customFormat="false" ht="18" hidden="false" customHeight="true" outlineLevel="0" collapsed="false"/>
    <row r="36" customFormat="false" ht="18" hidden="false" customHeight="true" outlineLevel="0" collapsed="false"/>
    <row r="37" customFormat="false" ht="18" hidden="false" customHeight="true" outlineLevel="0" collapsed="false"/>
    <row r="38" customFormat="false" ht="18" hidden="false" customHeight="true" outlineLevel="0" collapsed="false"/>
    <row r="39" customFormat="false" ht="18" hidden="false" customHeight="true" outlineLevel="0" collapsed="false"/>
  </sheetData>
  <mergeCells count="1">
    <mergeCell ref="B24:H30"/>
  </mergeCells>
  <hyperlinks>
    <hyperlink ref="B7" r:id="rId1" location="'Assumptions'!A1" display="Assumptions"/>
    <hyperlink ref="B8" r:id="rId2" location="'Income%20Statement'!A1" display="Income Statement"/>
    <hyperlink ref="B9" r:id="rId3" location="'Balance%20Sheet'!A1" display="Balance Sheet"/>
    <hyperlink ref="B10" r:id="rId4" location="'Cash%20Flow%20Statement'!A1" display="Cash Flow Statement"/>
    <hyperlink ref="B11" r:id="rId5" location="'WACC'!A1" display="WACC"/>
    <hyperlink ref="B12" r:id="rId6" location="'DCF%20Valuation'!A1" display="DCF Valuation"/>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N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12" min="3" style="0" width="11"/>
    <col collapsed="false" customWidth="true" hidden="false" outlineLevel="0" max="14" min="14" style="0" width="40"/>
  </cols>
  <sheetData>
    <row r="2" customFormat="false" ht="22.05" hidden="false" customHeight="false" outlineLevel="0" collapsed="false">
      <c r="B2" s="11" t="s">
        <v>17</v>
      </c>
    </row>
    <row r="3" customFormat="false" ht="15" hidden="false" customHeight="false" outlineLevel="0" collapsed="false">
      <c r="B3" s="3" t="s">
        <v>18</v>
      </c>
    </row>
    <row r="5" customFormat="false" ht="15" hidden="false" customHeight="false" outlineLevel="0" collapsed="false">
      <c r="B5" s="4" t="s">
        <v>19</v>
      </c>
      <c r="C5" s="12" t="s">
        <v>20</v>
      </c>
      <c r="D5" s="12" t="s">
        <v>21</v>
      </c>
      <c r="E5" s="12" t="s">
        <v>22</v>
      </c>
      <c r="F5" s="12" t="s">
        <v>23</v>
      </c>
      <c r="G5" s="12" t="s">
        <v>24</v>
      </c>
      <c r="H5" s="12" t="s">
        <v>25</v>
      </c>
      <c r="I5" s="12" t="s">
        <v>26</v>
      </c>
      <c r="J5" s="12" t="s">
        <v>27</v>
      </c>
      <c r="K5" s="12" t="s">
        <v>28</v>
      </c>
      <c r="L5" s="12" t="s">
        <v>29</v>
      </c>
      <c r="N5" s="3" t="s">
        <v>30</v>
      </c>
    </row>
    <row r="6" customFormat="false" ht="15" hidden="false" customHeight="false" outlineLevel="0" collapsed="false">
      <c r="B6" s="13" t="s">
        <v>31</v>
      </c>
      <c r="C6" s="14"/>
      <c r="D6" s="14"/>
      <c r="E6" s="14"/>
      <c r="F6" s="14"/>
      <c r="G6" s="14"/>
      <c r="H6" s="14"/>
      <c r="I6" s="14"/>
      <c r="J6" s="14"/>
      <c r="K6" s="14"/>
      <c r="L6" s="14"/>
    </row>
    <row r="7" customFormat="false" ht="15" hidden="false" customHeight="false" outlineLevel="0" collapsed="false">
      <c r="B7" s="6" t="s">
        <v>32</v>
      </c>
      <c r="C7" s="15" t="n">
        <v>565</v>
      </c>
      <c r="D7" s="15" t="n">
        <v>640</v>
      </c>
      <c r="E7" s="15" t="n">
        <v>725</v>
      </c>
      <c r="F7" s="15" t="n">
        <v>820</v>
      </c>
      <c r="G7" s="16" t="n">
        <f aca="false">F7*(1+G8)</f>
        <v>926.6</v>
      </c>
      <c r="H7" s="16" t="n">
        <f aca="false">G7*(1+H8)</f>
        <v>1037.792</v>
      </c>
      <c r="I7" s="16" t="n">
        <f aca="false">H7*(1+I8)</f>
        <v>1151.94912</v>
      </c>
      <c r="J7" s="16" t="n">
        <f aca="false">I7*(1+J8)</f>
        <v>1267.144032</v>
      </c>
      <c r="K7" s="16" t="n">
        <f aca="false">J7*(1+K8)</f>
        <v>1381.18699488</v>
      </c>
      <c r="L7" s="16" t="n">
        <f aca="false">K7*(1+L8)</f>
        <v>1491.6819544704</v>
      </c>
    </row>
    <row r="8" customFormat="false" ht="15" hidden="false" customHeight="false" outlineLevel="0" collapsed="false">
      <c r="B8" s="6" t="s">
        <v>33</v>
      </c>
      <c r="C8" s="17"/>
      <c r="D8" s="18" t="n">
        <f aca="false">(D7-C7)/C7</f>
        <v>0.132743362831858</v>
      </c>
      <c r="E8" s="18" t="n">
        <f aca="false">(E7-D7)/D7</f>
        <v>0.1328125</v>
      </c>
      <c r="F8" s="18" t="n">
        <f aca="false">(F7-E7)/E7</f>
        <v>0.131034482758621</v>
      </c>
      <c r="G8" s="19" t="n">
        <v>0.13</v>
      </c>
      <c r="H8" s="19" t="n">
        <v>0.12</v>
      </c>
      <c r="I8" s="19" t="n">
        <v>0.11</v>
      </c>
      <c r="J8" s="19" t="n">
        <v>0.1</v>
      </c>
      <c r="K8" s="19" t="n">
        <v>0.09</v>
      </c>
      <c r="L8" s="19" t="n">
        <v>0.08</v>
      </c>
    </row>
    <row r="10" customFormat="false" ht="15" hidden="false" customHeight="false" outlineLevel="0" collapsed="false">
      <c r="B10" s="13" t="s">
        <v>34</v>
      </c>
      <c r="C10" s="14"/>
      <c r="D10" s="14"/>
      <c r="E10" s="14"/>
      <c r="F10" s="14"/>
      <c r="G10" s="14"/>
      <c r="H10" s="14"/>
      <c r="I10" s="14"/>
      <c r="J10" s="14"/>
      <c r="K10" s="14"/>
      <c r="L10" s="14"/>
    </row>
    <row r="11" customFormat="false" ht="15" hidden="false" customHeight="false" outlineLevel="0" collapsed="false">
      <c r="B11" s="6" t="s">
        <v>35</v>
      </c>
      <c r="C11" s="19" t="n">
        <v>0.115</v>
      </c>
      <c r="D11" s="19" t="n">
        <v>0.119</v>
      </c>
      <c r="E11" s="19" t="n">
        <v>0.123</v>
      </c>
      <c r="F11" s="19" t="n">
        <v>0.125</v>
      </c>
      <c r="G11" s="19" t="n">
        <v>0.128</v>
      </c>
      <c r="H11" s="19" t="n">
        <v>0.128</v>
      </c>
      <c r="I11" s="19" t="n">
        <v>0.128</v>
      </c>
      <c r="J11" s="19" t="n">
        <v>0.128</v>
      </c>
      <c r="K11" s="19" t="n">
        <v>0.128</v>
      </c>
      <c r="L11" s="19" t="n">
        <v>0.128</v>
      </c>
    </row>
    <row r="12" customFormat="false" ht="15" hidden="false" customHeight="false" outlineLevel="0" collapsed="false">
      <c r="B12" s="6" t="s">
        <v>36</v>
      </c>
      <c r="C12" s="19" t="n">
        <v>0.035</v>
      </c>
      <c r="D12" s="19" t="n">
        <v>0.035</v>
      </c>
      <c r="E12" s="19" t="n">
        <v>0.035</v>
      </c>
      <c r="F12" s="19" t="n">
        <v>0.035</v>
      </c>
      <c r="G12" s="19" t="n">
        <v>0.035</v>
      </c>
      <c r="H12" s="19" t="n">
        <v>0.035</v>
      </c>
      <c r="I12" s="19" t="n">
        <v>0.035</v>
      </c>
      <c r="J12" s="19" t="n">
        <v>0.035</v>
      </c>
      <c r="K12" s="19" t="n">
        <v>0.035</v>
      </c>
      <c r="L12" s="19" t="n">
        <v>0.035</v>
      </c>
    </row>
    <row r="13" customFormat="false" ht="15" hidden="false" customHeight="false" outlineLevel="0" collapsed="false">
      <c r="B13" s="6" t="s">
        <v>37</v>
      </c>
      <c r="C13" s="19" t="n">
        <v>0.04</v>
      </c>
      <c r="D13" s="19" t="n">
        <v>0.04</v>
      </c>
      <c r="E13" s="19" t="n">
        <v>0.04</v>
      </c>
      <c r="F13" s="19" t="n">
        <v>0.04</v>
      </c>
      <c r="G13" s="19" t="n">
        <v>0.04</v>
      </c>
      <c r="H13" s="19" t="n">
        <v>0.04</v>
      </c>
      <c r="I13" s="19" t="n">
        <v>0.04</v>
      </c>
      <c r="J13" s="19" t="n">
        <v>0.04</v>
      </c>
      <c r="K13" s="19" t="n">
        <v>0.04</v>
      </c>
      <c r="L13" s="19" t="n">
        <v>0.04</v>
      </c>
    </row>
    <row r="14" customFormat="false" ht="15" hidden="false" customHeight="false" outlineLevel="0" collapsed="false">
      <c r="B14" s="6" t="s">
        <v>38</v>
      </c>
      <c r="C14" s="19" t="n">
        <v>0.06</v>
      </c>
      <c r="D14" s="19" t="n">
        <v>0.06</v>
      </c>
      <c r="E14" s="19" t="n">
        <v>0.06</v>
      </c>
      <c r="F14" s="19" t="n">
        <v>0.06</v>
      </c>
      <c r="G14" s="19" t="n">
        <v>0.06</v>
      </c>
      <c r="H14" s="19" t="n">
        <v>0.06</v>
      </c>
      <c r="I14" s="19" t="n">
        <v>0.06</v>
      </c>
      <c r="J14" s="19" t="n">
        <v>0.06</v>
      </c>
      <c r="K14" s="19" t="n">
        <v>0.06</v>
      </c>
      <c r="L14" s="19" t="n">
        <v>0.06</v>
      </c>
    </row>
    <row r="16" customFormat="false" ht="15" hidden="false" customHeight="false" outlineLevel="0" collapsed="false">
      <c r="B16" s="13" t="s">
        <v>39</v>
      </c>
      <c r="C16" s="14"/>
      <c r="D16" s="14"/>
      <c r="E16" s="14"/>
      <c r="F16" s="14"/>
      <c r="G16" s="14"/>
      <c r="H16" s="14"/>
      <c r="I16" s="14"/>
      <c r="J16" s="14"/>
      <c r="K16" s="14"/>
      <c r="L16" s="14"/>
    </row>
    <row r="17" customFormat="false" ht="15" hidden="false" customHeight="false" outlineLevel="0" collapsed="false">
      <c r="B17" s="6" t="s">
        <v>40</v>
      </c>
      <c r="C17" s="19" t="n">
        <v>0.09</v>
      </c>
      <c r="D17" s="19" t="n">
        <v>0.09</v>
      </c>
      <c r="E17" s="19" t="n">
        <v>0.09</v>
      </c>
      <c r="F17" s="19" t="n">
        <v>0.09</v>
      </c>
      <c r="G17" s="19" t="n">
        <v>0.09</v>
      </c>
      <c r="H17" s="19" t="n">
        <v>0.09</v>
      </c>
      <c r="I17" s="19" t="n">
        <v>0.09</v>
      </c>
      <c r="J17" s="19" t="n">
        <v>0.09</v>
      </c>
      <c r="K17" s="19" t="n">
        <v>0.09</v>
      </c>
      <c r="L17" s="19" t="n">
        <v>0.09</v>
      </c>
    </row>
    <row r="18" customFormat="false" ht="15" hidden="false" customHeight="false" outlineLevel="0" collapsed="false">
      <c r="B18" s="6" t="s">
        <v>41</v>
      </c>
      <c r="C18" s="15" t="n">
        <v>280</v>
      </c>
      <c r="D18" s="15" t="n">
        <v>260</v>
      </c>
      <c r="E18" s="15" t="n">
        <v>240</v>
      </c>
      <c r="F18" s="15" t="n">
        <v>220</v>
      </c>
      <c r="G18" s="15" t="n">
        <v>200</v>
      </c>
      <c r="H18" s="15" t="n">
        <v>180</v>
      </c>
      <c r="I18" s="15" t="n">
        <v>160</v>
      </c>
      <c r="J18" s="15" t="n">
        <v>140</v>
      </c>
      <c r="K18" s="15" t="n">
        <v>120</v>
      </c>
      <c r="L18" s="15" t="n">
        <v>100</v>
      </c>
    </row>
    <row r="19" customFormat="false" ht="15" hidden="false" customHeight="false" outlineLevel="0" collapsed="false">
      <c r="B19" s="6" t="s">
        <v>42</v>
      </c>
      <c r="C19" s="19" t="n">
        <v>0.25</v>
      </c>
      <c r="D19" s="19" t="n">
        <v>0.25</v>
      </c>
      <c r="E19" s="19" t="n">
        <v>0.25</v>
      </c>
      <c r="F19" s="19" t="n">
        <v>0.25</v>
      </c>
      <c r="G19" s="19" t="n">
        <v>0.25</v>
      </c>
      <c r="H19" s="19" t="n">
        <v>0.25</v>
      </c>
      <c r="I19" s="19" t="n">
        <v>0.25</v>
      </c>
      <c r="J19" s="19" t="n">
        <v>0.25</v>
      </c>
      <c r="K19" s="19" t="n">
        <v>0.25</v>
      </c>
      <c r="L19" s="19" t="n">
        <v>0.25</v>
      </c>
    </row>
    <row r="20" customFormat="false" ht="15" hidden="false" customHeight="false" outlineLevel="0" collapsed="false">
      <c r="B20" s="6" t="s">
        <v>43</v>
      </c>
      <c r="C20" s="19" t="n">
        <v>0.2</v>
      </c>
      <c r="D20" s="19" t="n">
        <v>0.2</v>
      </c>
      <c r="E20" s="19" t="n">
        <v>0.2</v>
      </c>
      <c r="F20" s="19" t="n">
        <v>0.2</v>
      </c>
      <c r="G20" s="19" t="n">
        <v>0.2</v>
      </c>
      <c r="H20" s="19" t="n">
        <v>0.2</v>
      </c>
      <c r="I20" s="19" t="n">
        <v>0.2</v>
      </c>
      <c r="J20" s="19" t="n">
        <v>0.2</v>
      </c>
      <c r="K20" s="19" t="n">
        <v>0.2</v>
      </c>
      <c r="L20" s="19" t="n">
        <v>0.2</v>
      </c>
    </row>
    <row r="22" customFormat="false" ht="15" hidden="false" customHeight="false" outlineLevel="0" collapsed="false">
      <c r="B22" s="13" t="s">
        <v>44</v>
      </c>
      <c r="C22" s="14"/>
      <c r="D22" s="14"/>
      <c r="E22" s="14"/>
      <c r="F22" s="14"/>
      <c r="G22" s="14"/>
      <c r="H22" s="14"/>
      <c r="I22" s="14"/>
      <c r="J22" s="14"/>
      <c r="K22" s="14"/>
      <c r="L22" s="14"/>
    </row>
    <row r="23" customFormat="false" ht="15" hidden="false" customHeight="false" outlineLevel="0" collapsed="false">
      <c r="B23" s="6" t="s">
        <v>45</v>
      </c>
      <c r="C23" s="15" t="n">
        <v>80</v>
      </c>
    </row>
    <row r="24" customFormat="false" ht="15" hidden="false" customHeight="false" outlineLevel="0" collapsed="false">
      <c r="B24" s="6" t="s">
        <v>46</v>
      </c>
      <c r="C24" s="15" t="n">
        <v>300</v>
      </c>
    </row>
    <row r="25" customFormat="false" ht="15" hidden="false" customHeight="false" outlineLevel="0" collapsed="false">
      <c r="B25" s="6" t="s">
        <v>47</v>
      </c>
      <c r="C25" s="15" t="n">
        <v>400</v>
      </c>
    </row>
    <row r="26" customFormat="false" ht="15" hidden="false" customHeight="false" outlineLevel="0" collapsed="false">
      <c r="B26" s="6" t="s">
        <v>48</v>
      </c>
      <c r="C26" s="15" t="n">
        <v>33.9</v>
      </c>
    </row>
    <row r="27" customFormat="false" ht="15" hidden="false" customHeight="false" outlineLevel="0" collapsed="false">
      <c r="B27" s="6" t="s">
        <v>49</v>
      </c>
      <c r="C27" s="15" t="n">
        <v>213.9</v>
      </c>
    </row>
    <row r="28" customFormat="false" ht="15" hidden="false" customHeight="false" outlineLevel="0" collapsed="false">
      <c r="B28" s="6" t="s">
        <v>50</v>
      </c>
      <c r="C28" s="15" t="n">
        <v>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L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12" min="3" style="0" width="11"/>
  </cols>
  <sheetData>
    <row r="2" customFormat="false" ht="22.05" hidden="false" customHeight="false" outlineLevel="0" collapsed="false">
      <c r="B2" s="11" t="s">
        <v>51</v>
      </c>
    </row>
    <row r="3" customFormat="false" ht="15" hidden="false" customHeight="false" outlineLevel="0" collapsed="false">
      <c r="B3" s="3" t="s">
        <v>52</v>
      </c>
    </row>
    <row r="5" customFormat="false" ht="15" hidden="false" customHeight="false" outlineLevel="0" collapsed="false">
      <c r="B5" s="4"/>
      <c r="C5" s="12" t="s">
        <v>20</v>
      </c>
      <c r="D5" s="12" t="s">
        <v>21</v>
      </c>
      <c r="E5" s="12" t="s">
        <v>22</v>
      </c>
      <c r="F5" s="12" t="s">
        <v>23</v>
      </c>
      <c r="G5" s="12" t="s">
        <v>24</v>
      </c>
      <c r="H5" s="12" t="s">
        <v>25</v>
      </c>
      <c r="I5" s="12" t="s">
        <v>26</v>
      </c>
      <c r="J5" s="12" t="s">
        <v>27</v>
      </c>
      <c r="K5" s="12" t="s">
        <v>28</v>
      </c>
      <c r="L5" s="12" t="s">
        <v>29</v>
      </c>
    </row>
    <row r="6" customFormat="false" ht="15" hidden="false" customHeight="false" outlineLevel="0" collapsed="false">
      <c r="B6" s="6" t="s">
        <v>53</v>
      </c>
      <c r="C6" s="20" t="n">
        <f aca="false">Assumptions!C7</f>
        <v>565</v>
      </c>
      <c r="D6" s="20" t="n">
        <f aca="false">Assumptions!D7</f>
        <v>640</v>
      </c>
      <c r="E6" s="20" t="n">
        <f aca="false">Assumptions!E7</f>
        <v>725</v>
      </c>
      <c r="F6" s="20" t="n">
        <f aca="false">Assumptions!F7</f>
        <v>820</v>
      </c>
      <c r="G6" s="20" t="n">
        <f aca="false">Assumptions!G7</f>
        <v>926.6</v>
      </c>
      <c r="H6" s="20" t="n">
        <f aca="false">Assumptions!H7</f>
        <v>1037.792</v>
      </c>
      <c r="I6" s="20" t="n">
        <f aca="false">Assumptions!I7</f>
        <v>1151.94912</v>
      </c>
      <c r="J6" s="20" t="n">
        <f aca="false">Assumptions!J7</f>
        <v>1267.144032</v>
      </c>
      <c r="K6" s="20" t="n">
        <f aca="false">Assumptions!K7</f>
        <v>1381.18699488</v>
      </c>
      <c r="L6" s="20" t="n">
        <f aca="false">Assumptions!L7</f>
        <v>1491.6819544704</v>
      </c>
    </row>
    <row r="7" customFormat="false" ht="15" hidden="false" customHeight="false" outlineLevel="0" collapsed="false">
      <c r="B7" s="6" t="s">
        <v>35</v>
      </c>
      <c r="C7" s="21" t="n">
        <f aca="false">Assumptions!C11</f>
        <v>0.115</v>
      </c>
      <c r="D7" s="21" t="n">
        <f aca="false">Assumptions!D11</f>
        <v>0.119</v>
      </c>
      <c r="E7" s="21" t="n">
        <f aca="false">Assumptions!E11</f>
        <v>0.123</v>
      </c>
      <c r="F7" s="21" t="n">
        <f aca="false">Assumptions!F11</f>
        <v>0.125</v>
      </c>
      <c r="G7" s="21" t="n">
        <f aca="false">Assumptions!G11</f>
        <v>0.128</v>
      </c>
      <c r="H7" s="21" t="n">
        <f aca="false">Assumptions!H11</f>
        <v>0.128</v>
      </c>
      <c r="I7" s="21" t="n">
        <f aca="false">Assumptions!I11</f>
        <v>0.128</v>
      </c>
      <c r="J7" s="21" t="n">
        <f aca="false">Assumptions!J11</f>
        <v>0.128</v>
      </c>
      <c r="K7" s="21" t="n">
        <f aca="false">Assumptions!K11</f>
        <v>0.128</v>
      </c>
      <c r="L7" s="21" t="n">
        <f aca="false">Assumptions!L11</f>
        <v>0.128</v>
      </c>
    </row>
    <row r="8" customFormat="false" ht="15" hidden="false" customHeight="false" outlineLevel="0" collapsed="false">
      <c r="B8" s="4" t="s">
        <v>54</v>
      </c>
      <c r="C8" s="16" t="n">
        <f aca="false">C6*C7</f>
        <v>64.975</v>
      </c>
      <c r="D8" s="16" t="n">
        <f aca="false">D6*D7</f>
        <v>76.16</v>
      </c>
      <c r="E8" s="16" t="n">
        <f aca="false">E6*E7</f>
        <v>89.175</v>
      </c>
      <c r="F8" s="16" t="n">
        <f aca="false">F6*F7</f>
        <v>102.5</v>
      </c>
      <c r="G8" s="16" t="n">
        <f aca="false">G6*G7</f>
        <v>118.6048</v>
      </c>
      <c r="H8" s="16" t="n">
        <f aca="false">H6*H7</f>
        <v>132.837376</v>
      </c>
      <c r="I8" s="16" t="n">
        <f aca="false">I6*I7</f>
        <v>147.44948736</v>
      </c>
      <c r="J8" s="16" t="n">
        <f aca="false">J6*J7</f>
        <v>162.194436096</v>
      </c>
      <c r="K8" s="16" t="n">
        <f aca="false">K6*K7</f>
        <v>176.79193534464</v>
      </c>
      <c r="L8" s="16" t="n">
        <f aca="false">L6*L7</f>
        <v>190.935290172211</v>
      </c>
    </row>
    <row r="9" customFormat="false" ht="15" hidden="false" customHeight="false" outlineLevel="0" collapsed="false">
      <c r="B9" s="6" t="s">
        <v>55</v>
      </c>
      <c r="C9" s="20" t="n">
        <f aca="false">C6*Assumptions!C12</f>
        <v>19.775</v>
      </c>
      <c r="D9" s="20" t="n">
        <f aca="false">D6*Assumptions!D12</f>
        <v>22.4</v>
      </c>
      <c r="E9" s="20" t="n">
        <f aca="false">E6*Assumptions!E12</f>
        <v>25.375</v>
      </c>
      <c r="F9" s="20" t="n">
        <f aca="false">F6*Assumptions!F12</f>
        <v>28.7</v>
      </c>
      <c r="G9" s="20" t="n">
        <f aca="false">G6*Assumptions!G12</f>
        <v>32.431</v>
      </c>
      <c r="H9" s="20" t="n">
        <f aca="false">H6*Assumptions!H12</f>
        <v>36.32272</v>
      </c>
      <c r="I9" s="20" t="n">
        <f aca="false">I6*Assumptions!I12</f>
        <v>40.3182192</v>
      </c>
      <c r="J9" s="20" t="n">
        <f aca="false">J6*Assumptions!J12</f>
        <v>44.35004112</v>
      </c>
      <c r="K9" s="20" t="n">
        <f aca="false">K6*Assumptions!K12</f>
        <v>48.3415448208</v>
      </c>
      <c r="L9" s="20" t="n">
        <f aca="false">L6*Assumptions!L12</f>
        <v>52.208868406464</v>
      </c>
    </row>
    <row r="10" customFormat="false" ht="15" hidden="false" customHeight="false" outlineLevel="0" collapsed="false">
      <c r="B10" s="4" t="s">
        <v>56</v>
      </c>
      <c r="C10" s="16" t="n">
        <f aca="false">C8+C9</f>
        <v>84.75</v>
      </c>
      <c r="D10" s="16" t="n">
        <f aca="false">D8+D9</f>
        <v>98.56</v>
      </c>
      <c r="E10" s="16" t="n">
        <f aca="false">E8+E9</f>
        <v>114.55</v>
      </c>
      <c r="F10" s="16" t="n">
        <f aca="false">F8+F9</f>
        <v>131.2</v>
      </c>
      <c r="G10" s="16" t="n">
        <f aca="false">G8+G9</f>
        <v>151.0358</v>
      </c>
      <c r="H10" s="16" t="n">
        <f aca="false">H8+H9</f>
        <v>169.160096</v>
      </c>
      <c r="I10" s="16" t="n">
        <f aca="false">I8+I9</f>
        <v>187.76770656</v>
      </c>
      <c r="J10" s="16" t="n">
        <f aca="false">J8+J9</f>
        <v>206.544477216</v>
      </c>
      <c r="K10" s="16" t="n">
        <f aca="false">K8+K9</f>
        <v>225.13348016544</v>
      </c>
      <c r="L10" s="16" t="n">
        <f aca="false">L8+L9</f>
        <v>243.144158578675</v>
      </c>
    </row>
    <row r="11" customFormat="false" ht="15" hidden="false" customHeight="false" outlineLevel="0" collapsed="false">
      <c r="B11" s="6" t="s">
        <v>57</v>
      </c>
      <c r="C11" s="20" t="n">
        <f aca="false">Assumptions!$C$24*Assumptions!C17</f>
        <v>27</v>
      </c>
      <c r="D11" s="20" t="n">
        <f aca="false">Assumptions!C18*Assumptions!D17</f>
        <v>25.2</v>
      </c>
      <c r="E11" s="20" t="n">
        <f aca="false">Assumptions!D18*Assumptions!E17</f>
        <v>23.4</v>
      </c>
      <c r="F11" s="20" t="n">
        <f aca="false">Assumptions!E18*Assumptions!F17</f>
        <v>21.6</v>
      </c>
      <c r="G11" s="20" t="n">
        <f aca="false">Assumptions!F18*Assumptions!G17</f>
        <v>19.8</v>
      </c>
      <c r="H11" s="20" t="n">
        <f aca="false">Assumptions!G18*Assumptions!H17</f>
        <v>18</v>
      </c>
      <c r="I11" s="20" t="n">
        <f aca="false">Assumptions!H18*Assumptions!I17</f>
        <v>16.2</v>
      </c>
      <c r="J11" s="20" t="n">
        <f aca="false">Assumptions!I18*Assumptions!J17</f>
        <v>14.4</v>
      </c>
      <c r="K11" s="20" t="n">
        <f aca="false">Assumptions!J18*Assumptions!K17</f>
        <v>12.6</v>
      </c>
      <c r="L11" s="20" t="n">
        <f aca="false">Assumptions!K18*Assumptions!L17</f>
        <v>10.8</v>
      </c>
    </row>
    <row r="12" customFormat="false" ht="15" hidden="false" customHeight="false" outlineLevel="0" collapsed="false">
      <c r="B12" s="4" t="s">
        <v>58</v>
      </c>
      <c r="C12" s="16" t="n">
        <f aca="false">C8-C11</f>
        <v>37.975</v>
      </c>
      <c r="D12" s="16" t="n">
        <f aca="false">D8-D11</f>
        <v>50.96</v>
      </c>
      <c r="E12" s="16" t="n">
        <f aca="false">E8-E11</f>
        <v>65.775</v>
      </c>
      <c r="F12" s="16" t="n">
        <f aca="false">F8-F11</f>
        <v>80.9</v>
      </c>
      <c r="G12" s="16" t="n">
        <f aca="false">G8-G11</f>
        <v>98.8048</v>
      </c>
      <c r="H12" s="16" t="n">
        <f aca="false">H8-H11</f>
        <v>114.837376</v>
      </c>
      <c r="I12" s="16" t="n">
        <f aca="false">I8-I11</f>
        <v>131.24948736</v>
      </c>
      <c r="J12" s="16" t="n">
        <f aca="false">J8-J11</f>
        <v>147.794436096</v>
      </c>
      <c r="K12" s="16" t="n">
        <f aca="false">K8-K11</f>
        <v>164.19193534464</v>
      </c>
      <c r="L12" s="16" t="n">
        <f aca="false">L8-L11</f>
        <v>180.135290172211</v>
      </c>
    </row>
    <row r="13" customFormat="false" ht="15" hidden="false" customHeight="false" outlineLevel="0" collapsed="false">
      <c r="B13" s="6" t="s">
        <v>59</v>
      </c>
      <c r="C13" s="20" t="n">
        <f aca="false">C12*Assumptions!C19</f>
        <v>9.49375</v>
      </c>
      <c r="D13" s="20" t="n">
        <f aca="false">D12*Assumptions!D19</f>
        <v>12.74</v>
      </c>
      <c r="E13" s="20" t="n">
        <f aca="false">E12*Assumptions!E19</f>
        <v>16.44375</v>
      </c>
      <c r="F13" s="20" t="n">
        <f aca="false">F12*Assumptions!F19</f>
        <v>20.225</v>
      </c>
      <c r="G13" s="20" t="n">
        <f aca="false">G12*Assumptions!G19</f>
        <v>24.7012</v>
      </c>
      <c r="H13" s="20" t="n">
        <f aca="false">H12*Assumptions!H19</f>
        <v>28.709344</v>
      </c>
      <c r="I13" s="20" t="n">
        <f aca="false">I12*Assumptions!I19</f>
        <v>32.81237184</v>
      </c>
      <c r="J13" s="20" t="n">
        <f aca="false">J12*Assumptions!J19</f>
        <v>36.948609024</v>
      </c>
      <c r="K13" s="20" t="n">
        <f aca="false">K12*Assumptions!K19</f>
        <v>41.04798383616</v>
      </c>
      <c r="L13" s="20" t="n">
        <f aca="false">L12*Assumptions!L19</f>
        <v>45.0338225430528</v>
      </c>
    </row>
    <row r="14" customFormat="false" ht="15" hidden="false" customHeight="false" outlineLevel="0" collapsed="false">
      <c r="B14" s="4" t="s">
        <v>60</v>
      </c>
      <c r="C14" s="22" t="n">
        <f aca="false">C12-C13</f>
        <v>28.48125</v>
      </c>
      <c r="D14" s="22" t="n">
        <f aca="false">D12-D13</f>
        <v>38.22</v>
      </c>
      <c r="E14" s="22" t="n">
        <f aca="false">E12-E13</f>
        <v>49.33125</v>
      </c>
      <c r="F14" s="22" t="n">
        <f aca="false">F12-F13</f>
        <v>60.675</v>
      </c>
      <c r="G14" s="22" t="n">
        <f aca="false">G12-G13</f>
        <v>74.1036</v>
      </c>
      <c r="H14" s="22" t="n">
        <f aca="false">H12-H13</f>
        <v>86.128032</v>
      </c>
      <c r="I14" s="22" t="n">
        <f aca="false">I12-I13</f>
        <v>98.43711552</v>
      </c>
      <c r="J14" s="22" t="n">
        <f aca="false">J12-J13</f>
        <v>110.845827072</v>
      </c>
      <c r="K14" s="22" t="n">
        <f aca="false">K12-K13</f>
        <v>123.14395150848</v>
      </c>
      <c r="L14" s="22" t="n">
        <f aca="false">L12-L13</f>
        <v>135.101467629158</v>
      </c>
    </row>
    <row r="15" customFormat="false" ht="15" hidden="false" customHeight="false" outlineLevel="0" collapsed="false">
      <c r="B15" s="6" t="s">
        <v>61</v>
      </c>
      <c r="C15" s="20" t="n">
        <f aca="false">C14*Assumptions!C20</f>
        <v>5.69625</v>
      </c>
      <c r="D15" s="20" t="n">
        <f aca="false">D14*Assumptions!D20</f>
        <v>7.644</v>
      </c>
      <c r="E15" s="20" t="n">
        <f aca="false">E14*Assumptions!E20</f>
        <v>9.86625</v>
      </c>
      <c r="F15" s="20" t="n">
        <f aca="false">F14*Assumptions!F20</f>
        <v>12.135</v>
      </c>
      <c r="G15" s="20" t="n">
        <f aca="false">G14*Assumptions!G20</f>
        <v>14.82072</v>
      </c>
      <c r="H15" s="20" t="n">
        <f aca="false">H14*Assumptions!H20</f>
        <v>17.2256064</v>
      </c>
      <c r="I15" s="20" t="n">
        <f aca="false">I14*Assumptions!I20</f>
        <v>19.687423104</v>
      </c>
      <c r="J15" s="20" t="n">
        <f aca="false">J14*Assumptions!J20</f>
        <v>22.1691654144</v>
      </c>
      <c r="K15" s="20" t="n">
        <f aca="false">K14*Assumptions!K20</f>
        <v>24.628790301696</v>
      </c>
      <c r="L15" s="20" t="n">
        <f aca="false">L14*Assumptions!L20</f>
        <v>27.0202935258317</v>
      </c>
    </row>
    <row r="16" customFormat="false" ht="15" hidden="false" customHeight="false" outlineLevel="0" collapsed="false">
      <c r="B16" s="6" t="s">
        <v>62</v>
      </c>
      <c r="C16" s="16" t="n">
        <f aca="false">C14-C15</f>
        <v>22.785</v>
      </c>
      <c r="D16" s="16" t="n">
        <f aca="false">D14-D15</f>
        <v>30.576</v>
      </c>
      <c r="E16" s="16" t="n">
        <f aca="false">E14-E15</f>
        <v>39.465</v>
      </c>
      <c r="F16" s="16" t="n">
        <f aca="false">F14-F15</f>
        <v>48.54</v>
      </c>
      <c r="G16" s="16" t="n">
        <f aca="false">G14-G15</f>
        <v>59.28288</v>
      </c>
      <c r="H16" s="16" t="n">
        <f aca="false">H14-H15</f>
        <v>68.9024256</v>
      </c>
      <c r="I16" s="16" t="n">
        <f aca="false">I14-I15</f>
        <v>78.749692416</v>
      </c>
      <c r="J16" s="16" t="n">
        <f aca="false">J14-J15</f>
        <v>88.6766616576</v>
      </c>
      <c r="K16" s="16" t="n">
        <f aca="false">K14-K15</f>
        <v>98.515161206784</v>
      </c>
      <c r="L16" s="16" t="n">
        <f aca="false">L14-L15</f>
        <v>108.081174103327</v>
      </c>
    </row>
    <row r="18" customFormat="false" ht="15" hidden="false" customHeight="false" outlineLevel="0" collapsed="false">
      <c r="B18" s="6" t="s">
        <v>63</v>
      </c>
      <c r="C18" s="18" t="n">
        <f aca="false">C10/C6</f>
        <v>0.15</v>
      </c>
      <c r="D18" s="18" t="n">
        <f aca="false">D10/D6</f>
        <v>0.154</v>
      </c>
      <c r="E18" s="18" t="n">
        <f aca="false">E10/E6</f>
        <v>0.158</v>
      </c>
      <c r="F18" s="18" t="n">
        <f aca="false">F10/F6</f>
        <v>0.16</v>
      </c>
      <c r="G18" s="18" t="n">
        <f aca="false">G10/G6</f>
        <v>0.163</v>
      </c>
      <c r="H18" s="18" t="n">
        <f aca="false">H10/H6</f>
        <v>0.163</v>
      </c>
      <c r="I18" s="18" t="n">
        <f aca="false">I10/I6</f>
        <v>0.163</v>
      </c>
      <c r="J18" s="18" t="n">
        <f aca="false">J10/J6</f>
        <v>0.163</v>
      </c>
      <c r="K18" s="18" t="n">
        <f aca="false">K10/K6</f>
        <v>0.163</v>
      </c>
      <c r="L18" s="18" t="n">
        <f aca="false">L10/L6</f>
        <v>0.163</v>
      </c>
    </row>
    <row r="19" customFormat="false" ht="15" hidden="false" customHeight="false" outlineLevel="0" collapsed="false">
      <c r="B19" s="6" t="s">
        <v>64</v>
      </c>
      <c r="C19" s="18" t="n">
        <f aca="false">C14/C6</f>
        <v>0.0504092920353982</v>
      </c>
      <c r="D19" s="18" t="n">
        <f aca="false">D14/D6</f>
        <v>0.05971875</v>
      </c>
      <c r="E19" s="18" t="n">
        <f aca="false">E14/E6</f>
        <v>0.0680431034482759</v>
      </c>
      <c r="F19" s="18" t="n">
        <f aca="false">F14/F6</f>
        <v>0.0739939024390244</v>
      </c>
      <c r="G19" s="18" t="n">
        <f aca="false">G14/G6</f>
        <v>0.0799736671703</v>
      </c>
      <c r="H19" s="18" t="n">
        <f aca="false">H14/H6</f>
        <v>0.0829916129629059</v>
      </c>
      <c r="I19" s="18" t="n">
        <f aca="false">I14/I6</f>
        <v>0.0854526591591129</v>
      </c>
      <c r="J19" s="18" t="n">
        <f aca="false">J14/J6</f>
        <v>0.0874768962901922</v>
      </c>
      <c r="K19" s="18" t="n">
        <f aca="false">K14/K6</f>
        <v>0.0891580589485488</v>
      </c>
      <c r="L19" s="18" t="n">
        <f aca="false">L14/L6</f>
        <v>0.0905698880544038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L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12" min="3" style="0" width="11"/>
  </cols>
  <sheetData>
    <row r="2" customFormat="false" ht="22.05" hidden="false" customHeight="false" outlineLevel="0" collapsed="false">
      <c r="B2" s="11" t="s">
        <v>65</v>
      </c>
    </row>
    <row r="3" customFormat="false" ht="15" hidden="false" customHeight="false" outlineLevel="0" collapsed="false">
      <c r="B3" s="3" t="s">
        <v>66</v>
      </c>
    </row>
    <row r="5" customFormat="false" ht="15" hidden="false" customHeight="false" outlineLevel="0" collapsed="false">
      <c r="C5" s="12" t="s">
        <v>20</v>
      </c>
      <c r="D5" s="12" t="s">
        <v>21</v>
      </c>
      <c r="E5" s="12" t="s">
        <v>22</v>
      </c>
      <c r="F5" s="12" t="s">
        <v>23</v>
      </c>
      <c r="G5" s="12" t="s">
        <v>24</v>
      </c>
      <c r="H5" s="12" t="s">
        <v>25</v>
      </c>
      <c r="I5" s="12" t="s">
        <v>26</v>
      </c>
      <c r="J5" s="12" t="s">
        <v>27</v>
      </c>
      <c r="K5" s="12" t="s">
        <v>28</v>
      </c>
      <c r="L5" s="12" t="s">
        <v>29</v>
      </c>
    </row>
    <row r="6" customFormat="false" ht="15" hidden="false" customHeight="false" outlineLevel="0" collapsed="false">
      <c r="B6" s="13" t="s">
        <v>67</v>
      </c>
      <c r="C6" s="14"/>
      <c r="D6" s="14"/>
      <c r="E6" s="14"/>
      <c r="F6" s="14"/>
      <c r="G6" s="14"/>
      <c r="H6" s="14"/>
      <c r="I6" s="14"/>
      <c r="J6" s="14"/>
      <c r="K6" s="14"/>
      <c r="L6" s="14"/>
    </row>
    <row r="7" customFormat="false" ht="15" hidden="false" customHeight="false" outlineLevel="0" collapsed="false">
      <c r="B7" s="6" t="s">
        <v>60</v>
      </c>
      <c r="C7" s="20" t="n">
        <f aca="false">'Income Statement'!C14</f>
        <v>28.48125</v>
      </c>
      <c r="D7" s="20" t="n">
        <f aca="false">'Income Statement'!D14</f>
        <v>38.22</v>
      </c>
      <c r="E7" s="20" t="n">
        <f aca="false">'Income Statement'!E14</f>
        <v>49.33125</v>
      </c>
      <c r="F7" s="20" t="n">
        <f aca="false">'Income Statement'!F14</f>
        <v>60.675</v>
      </c>
      <c r="G7" s="20" t="n">
        <f aca="false">'Income Statement'!G14</f>
        <v>74.1036</v>
      </c>
      <c r="H7" s="20" t="n">
        <f aca="false">'Income Statement'!H14</f>
        <v>86.128032</v>
      </c>
      <c r="I7" s="20" t="n">
        <f aca="false">'Income Statement'!I14</f>
        <v>98.43711552</v>
      </c>
      <c r="J7" s="20" t="n">
        <f aca="false">'Income Statement'!J14</f>
        <v>110.845827072</v>
      </c>
      <c r="K7" s="20" t="n">
        <f aca="false">'Income Statement'!K14</f>
        <v>123.14395150848</v>
      </c>
      <c r="L7" s="20" t="n">
        <f aca="false">'Income Statement'!L14</f>
        <v>135.101467629158</v>
      </c>
    </row>
    <row r="8" customFormat="false" ht="15" hidden="false" customHeight="false" outlineLevel="0" collapsed="false">
      <c r="B8" s="6" t="s">
        <v>68</v>
      </c>
      <c r="C8" s="20" t="n">
        <f aca="false">'Income Statement'!C9</f>
        <v>19.775</v>
      </c>
      <c r="D8" s="20" t="n">
        <f aca="false">'Income Statement'!D9</f>
        <v>22.4</v>
      </c>
      <c r="E8" s="20" t="n">
        <f aca="false">'Income Statement'!E9</f>
        <v>25.375</v>
      </c>
      <c r="F8" s="20" t="n">
        <f aca="false">'Income Statement'!F9</f>
        <v>28.7</v>
      </c>
      <c r="G8" s="20" t="n">
        <f aca="false">'Income Statement'!G9</f>
        <v>32.431</v>
      </c>
      <c r="H8" s="20" t="n">
        <f aca="false">'Income Statement'!H9</f>
        <v>36.32272</v>
      </c>
      <c r="I8" s="20" t="n">
        <f aca="false">'Income Statement'!I9</f>
        <v>40.3182192</v>
      </c>
      <c r="J8" s="20" t="n">
        <f aca="false">'Income Statement'!J9</f>
        <v>44.35004112</v>
      </c>
      <c r="K8" s="20" t="n">
        <f aca="false">'Income Statement'!K9</f>
        <v>48.3415448208</v>
      </c>
      <c r="L8" s="20" t="n">
        <f aca="false">'Income Statement'!L9</f>
        <v>52.208868406464</v>
      </c>
    </row>
    <row r="9" customFormat="false" ht="15" hidden="false" customHeight="false" outlineLevel="0" collapsed="false">
      <c r="B9" s="6" t="s">
        <v>69</v>
      </c>
      <c r="C9" s="20" t="n">
        <f aca="false">-(Assumptions!C7*Assumptions!C14-Assumptions!$C$26)</f>
        <v>-0</v>
      </c>
      <c r="D9" s="20" t="n">
        <f aca="false">-(Assumptions!D7*Assumptions!D14-Assumptions!C7*Assumptions!C14)</f>
        <v>-4.5</v>
      </c>
      <c r="E9" s="20" t="n">
        <f aca="false">-(Assumptions!E7*Assumptions!E14-Assumptions!D7*Assumptions!D14)</f>
        <v>-5.1</v>
      </c>
      <c r="F9" s="20" t="n">
        <f aca="false">-(Assumptions!F7*Assumptions!F14-Assumptions!E7*Assumptions!E14)</f>
        <v>-5.7</v>
      </c>
      <c r="G9" s="20" t="n">
        <f aca="false">-(Assumptions!G7*Assumptions!G14-Assumptions!F7*Assumptions!F14)</f>
        <v>-6.39599999999999</v>
      </c>
      <c r="H9" s="20" t="n">
        <f aca="false">-(Assumptions!H7*Assumptions!H14-Assumptions!G7*Assumptions!G14)</f>
        <v>-6.67152</v>
      </c>
      <c r="I9" s="20" t="n">
        <f aca="false">-(Assumptions!I7*Assumptions!I14-Assumptions!H7*Assumptions!H14)</f>
        <v>-6.84942720000001</v>
      </c>
      <c r="J9" s="20" t="n">
        <f aca="false">-(Assumptions!J7*Assumptions!J14-Assumptions!I7*Assumptions!I14)</f>
        <v>-6.91169472000001</v>
      </c>
      <c r="K9" s="20" t="n">
        <f aca="false">-(Assumptions!K7*Assumptions!K14-Assumptions!J7*Assumptions!J14)</f>
        <v>-6.8425777728</v>
      </c>
      <c r="L9" s="20" t="n">
        <f aca="false">-(Assumptions!L7*Assumptions!L14-Assumptions!K7*Assumptions!K14)</f>
        <v>-6.629697575424</v>
      </c>
    </row>
    <row r="10" customFormat="false" ht="15" hidden="false" customHeight="false" outlineLevel="0" collapsed="false">
      <c r="B10" s="4" t="s">
        <v>70</v>
      </c>
      <c r="C10" s="22" t="n">
        <f aca="false">SUM(C7:C9)</f>
        <v>48.25625</v>
      </c>
      <c r="D10" s="22" t="n">
        <f aca="false">SUM(D7:D9)</f>
        <v>56.12</v>
      </c>
      <c r="E10" s="22" t="n">
        <f aca="false">SUM(E7:E9)</f>
        <v>69.60625</v>
      </c>
      <c r="F10" s="22" t="n">
        <f aca="false">SUM(F7:F9)</f>
        <v>83.675</v>
      </c>
      <c r="G10" s="22" t="n">
        <f aca="false">SUM(G7:G9)</f>
        <v>100.1386</v>
      </c>
      <c r="H10" s="22" t="n">
        <f aca="false">SUM(H7:H9)</f>
        <v>115.779232</v>
      </c>
      <c r="I10" s="22" t="n">
        <f aca="false">SUM(I7:I9)</f>
        <v>131.90590752</v>
      </c>
      <c r="J10" s="22" t="n">
        <f aca="false">SUM(J7:J9)</f>
        <v>148.284173472</v>
      </c>
      <c r="K10" s="22" t="n">
        <f aca="false">SUM(K7:K9)</f>
        <v>164.64291855648</v>
      </c>
      <c r="L10" s="22" t="n">
        <f aca="false">SUM(L7:L9)</f>
        <v>180.680638460198</v>
      </c>
    </row>
    <row r="11" customFormat="false" ht="15" hidden="false" customHeight="false" outlineLevel="0" collapsed="false">
      <c r="B11" s="13" t="s">
        <v>71</v>
      </c>
      <c r="C11" s="14"/>
      <c r="D11" s="14"/>
      <c r="E11" s="14"/>
      <c r="F11" s="14"/>
      <c r="G11" s="14"/>
      <c r="H11" s="14"/>
      <c r="I11" s="14"/>
      <c r="J11" s="14"/>
      <c r="K11" s="14"/>
      <c r="L11" s="14"/>
    </row>
    <row r="12" customFormat="false" ht="15" hidden="false" customHeight="false" outlineLevel="0" collapsed="false">
      <c r="B12" s="6" t="s">
        <v>72</v>
      </c>
      <c r="C12" s="20" t="n">
        <f aca="false">-Assumptions!C7*Assumptions!C13</f>
        <v>-22.6</v>
      </c>
      <c r="D12" s="20" t="n">
        <f aca="false">-Assumptions!D7*Assumptions!D13</f>
        <v>-25.6</v>
      </c>
      <c r="E12" s="20" t="n">
        <f aca="false">-Assumptions!E7*Assumptions!E13</f>
        <v>-29</v>
      </c>
      <c r="F12" s="20" t="n">
        <f aca="false">-Assumptions!F7*Assumptions!F13</f>
        <v>-32.8</v>
      </c>
      <c r="G12" s="20" t="n">
        <f aca="false">-Assumptions!G7*Assumptions!G13</f>
        <v>-37.064</v>
      </c>
      <c r="H12" s="20" t="n">
        <f aca="false">-Assumptions!H7*Assumptions!H13</f>
        <v>-41.51168</v>
      </c>
      <c r="I12" s="20" t="n">
        <f aca="false">-Assumptions!I7*Assumptions!I13</f>
        <v>-46.0779648</v>
      </c>
      <c r="J12" s="20" t="n">
        <f aca="false">-Assumptions!J7*Assumptions!J13</f>
        <v>-50.68576128</v>
      </c>
      <c r="K12" s="20" t="n">
        <f aca="false">-Assumptions!K7*Assumptions!K13</f>
        <v>-55.2474797952</v>
      </c>
      <c r="L12" s="20" t="n">
        <f aca="false">-Assumptions!L7*Assumptions!L13</f>
        <v>-59.667278178816</v>
      </c>
    </row>
    <row r="13" customFormat="false" ht="15" hidden="false" customHeight="false" outlineLevel="0" collapsed="false">
      <c r="B13" s="4" t="s">
        <v>73</v>
      </c>
      <c r="C13" s="22" t="n">
        <f aca="false">C12</f>
        <v>-22.6</v>
      </c>
      <c r="D13" s="22" t="n">
        <f aca="false">D12</f>
        <v>-25.6</v>
      </c>
      <c r="E13" s="22" t="n">
        <f aca="false">E12</f>
        <v>-29</v>
      </c>
      <c r="F13" s="22" t="n">
        <f aca="false">F12</f>
        <v>-32.8</v>
      </c>
      <c r="G13" s="22" t="n">
        <f aca="false">G12</f>
        <v>-37.064</v>
      </c>
      <c r="H13" s="22" t="n">
        <f aca="false">H12</f>
        <v>-41.51168</v>
      </c>
      <c r="I13" s="22" t="n">
        <f aca="false">I12</f>
        <v>-46.0779648</v>
      </c>
      <c r="J13" s="22" t="n">
        <f aca="false">J12</f>
        <v>-50.68576128</v>
      </c>
      <c r="K13" s="22" t="n">
        <f aca="false">K12</f>
        <v>-55.2474797952</v>
      </c>
      <c r="L13" s="22" t="n">
        <f aca="false">L12</f>
        <v>-59.667278178816</v>
      </c>
    </row>
    <row r="14" customFormat="false" ht="15" hidden="false" customHeight="false" outlineLevel="0" collapsed="false">
      <c r="B14" s="13" t="s">
        <v>74</v>
      </c>
      <c r="C14" s="14"/>
      <c r="D14" s="14"/>
      <c r="E14" s="14"/>
      <c r="F14" s="14"/>
      <c r="G14" s="14"/>
      <c r="H14" s="14"/>
      <c r="I14" s="14"/>
      <c r="J14" s="14"/>
      <c r="K14" s="14"/>
      <c r="L14" s="14"/>
    </row>
    <row r="15" customFormat="false" ht="15" hidden="false" customHeight="false" outlineLevel="0" collapsed="false">
      <c r="B15" s="6" t="s">
        <v>75</v>
      </c>
      <c r="C15" s="20" t="n">
        <f aca="false">Assumptions!C18-Assumptions!$C$24</f>
        <v>-20</v>
      </c>
      <c r="D15" s="20" t="n">
        <f aca="false">Assumptions!D18-Assumptions!C18</f>
        <v>-20</v>
      </c>
      <c r="E15" s="20" t="n">
        <f aca="false">Assumptions!E18-Assumptions!D18</f>
        <v>-20</v>
      </c>
      <c r="F15" s="20" t="n">
        <f aca="false">Assumptions!F18-Assumptions!E18</f>
        <v>-20</v>
      </c>
      <c r="G15" s="20" t="n">
        <f aca="false">Assumptions!G18-Assumptions!F18</f>
        <v>-20</v>
      </c>
      <c r="H15" s="20" t="n">
        <f aca="false">Assumptions!H18-Assumptions!G18</f>
        <v>-20</v>
      </c>
      <c r="I15" s="20" t="n">
        <f aca="false">Assumptions!I18-Assumptions!H18</f>
        <v>-20</v>
      </c>
      <c r="J15" s="20" t="n">
        <f aca="false">Assumptions!J18-Assumptions!I18</f>
        <v>-20</v>
      </c>
      <c r="K15" s="20" t="n">
        <f aca="false">Assumptions!K18-Assumptions!J18</f>
        <v>-20</v>
      </c>
      <c r="L15" s="20" t="n">
        <f aca="false">Assumptions!L18-Assumptions!K18</f>
        <v>-20</v>
      </c>
    </row>
    <row r="16" customFormat="false" ht="15" hidden="false" customHeight="false" outlineLevel="0" collapsed="false">
      <c r="B16" s="6" t="s">
        <v>76</v>
      </c>
      <c r="C16" s="20" t="n">
        <f aca="false">-'Income Statement'!C15</f>
        <v>-5.69625</v>
      </c>
      <c r="D16" s="20" t="n">
        <f aca="false">-'Income Statement'!D15</f>
        <v>-7.644</v>
      </c>
      <c r="E16" s="20" t="n">
        <f aca="false">-'Income Statement'!E15</f>
        <v>-9.86625</v>
      </c>
      <c r="F16" s="20" t="n">
        <f aca="false">-'Income Statement'!F15</f>
        <v>-12.135</v>
      </c>
      <c r="G16" s="20" t="n">
        <f aca="false">-'Income Statement'!G15</f>
        <v>-14.82072</v>
      </c>
      <c r="H16" s="20" t="n">
        <f aca="false">-'Income Statement'!H15</f>
        <v>-17.2256064</v>
      </c>
      <c r="I16" s="20" t="n">
        <f aca="false">-'Income Statement'!I15</f>
        <v>-19.687423104</v>
      </c>
      <c r="J16" s="20" t="n">
        <f aca="false">-'Income Statement'!J15</f>
        <v>-22.1691654144</v>
      </c>
      <c r="K16" s="20" t="n">
        <f aca="false">-'Income Statement'!K15</f>
        <v>-24.628790301696</v>
      </c>
      <c r="L16" s="20" t="n">
        <f aca="false">-'Income Statement'!L15</f>
        <v>-27.0202935258317</v>
      </c>
    </row>
    <row r="17" customFormat="false" ht="15" hidden="false" customHeight="false" outlineLevel="0" collapsed="false">
      <c r="B17" s="4" t="s">
        <v>77</v>
      </c>
      <c r="C17" s="22" t="n">
        <f aca="false">C15+C16</f>
        <v>-25.69625</v>
      </c>
      <c r="D17" s="22" t="n">
        <f aca="false">D15+D16</f>
        <v>-27.644</v>
      </c>
      <c r="E17" s="22" t="n">
        <f aca="false">E15+E16</f>
        <v>-29.86625</v>
      </c>
      <c r="F17" s="22" t="n">
        <f aca="false">F15+F16</f>
        <v>-32.135</v>
      </c>
      <c r="G17" s="22" t="n">
        <f aca="false">G15+G16</f>
        <v>-34.82072</v>
      </c>
      <c r="H17" s="22" t="n">
        <f aca="false">H15+H16</f>
        <v>-37.2256064</v>
      </c>
      <c r="I17" s="22" t="n">
        <f aca="false">I15+I16</f>
        <v>-39.687423104</v>
      </c>
      <c r="J17" s="22" t="n">
        <f aca="false">J15+J16</f>
        <v>-42.1691654144</v>
      </c>
      <c r="K17" s="22" t="n">
        <f aca="false">K15+K16</f>
        <v>-44.628790301696</v>
      </c>
      <c r="L17" s="22" t="n">
        <f aca="false">L15+L16</f>
        <v>-47.0202935258317</v>
      </c>
    </row>
    <row r="19" customFormat="false" ht="15" hidden="false" customHeight="false" outlineLevel="0" collapsed="false">
      <c r="B19" s="4" t="s">
        <v>78</v>
      </c>
      <c r="C19" s="16" t="n">
        <f aca="false">C10+C13+C17</f>
        <v>-0.0399999999999956</v>
      </c>
      <c r="D19" s="16" t="n">
        <f aca="false">D10+D13+D17</f>
        <v>2.876</v>
      </c>
      <c r="E19" s="16" t="n">
        <f aca="false">E10+E13+E17</f>
        <v>10.74</v>
      </c>
      <c r="F19" s="16" t="n">
        <f aca="false">F10+F13+F17</f>
        <v>18.74</v>
      </c>
      <c r="G19" s="16" t="n">
        <f aca="false">G10+G13+G17</f>
        <v>28.25388</v>
      </c>
      <c r="H19" s="16" t="n">
        <f aca="false">H10+H13+H17</f>
        <v>37.0419456</v>
      </c>
      <c r="I19" s="16" t="n">
        <f aca="false">I10+I13+I17</f>
        <v>46.140519616</v>
      </c>
      <c r="J19" s="16" t="n">
        <f aca="false">J10+J13+J17</f>
        <v>55.4292467776</v>
      </c>
      <c r="K19" s="16" t="n">
        <f aca="false">K10+K13+K17</f>
        <v>64.766648459584</v>
      </c>
      <c r="L19" s="16" t="n">
        <f aca="false">L10+L13+L17</f>
        <v>73.9930667555507</v>
      </c>
    </row>
    <row r="20" customFormat="false" ht="15" hidden="false" customHeight="false" outlineLevel="0" collapsed="false">
      <c r="B20" s="6" t="s">
        <v>45</v>
      </c>
      <c r="C20" s="20" t="n">
        <f aca="false">Assumptions!$C$23</f>
        <v>80</v>
      </c>
      <c r="D20" s="16" t="n">
        <f aca="false">C21</f>
        <v>79.96</v>
      </c>
      <c r="E20" s="16" t="n">
        <f aca="false">D21</f>
        <v>82.836</v>
      </c>
      <c r="F20" s="16" t="n">
        <f aca="false">E21</f>
        <v>93.576</v>
      </c>
      <c r="G20" s="16" t="n">
        <f aca="false">F21</f>
        <v>112.316</v>
      </c>
      <c r="H20" s="16" t="n">
        <f aca="false">G21</f>
        <v>140.56988</v>
      </c>
      <c r="I20" s="16" t="n">
        <f aca="false">H21</f>
        <v>177.6118256</v>
      </c>
      <c r="J20" s="16" t="n">
        <f aca="false">I21</f>
        <v>223.752345216</v>
      </c>
      <c r="K20" s="16" t="n">
        <f aca="false">J21</f>
        <v>279.1815919936</v>
      </c>
      <c r="L20" s="16" t="n">
        <f aca="false">K21</f>
        <v>343.948240453184</v>
      </c>
    </row>
    <row r="21" customFormat="false" ht="15" hidden="false" customHeight="false" outlineLevel="0" collapsed="false">
      <c r="B21" s="4" t="s">
        <v>79</v>
      </c>
      <c r="C21" s="23" t="n">
        <f aca="false">C20+C19</f>
        <v>79.96</v>
      </c>
      <c r="D21" s="23" t="n">
        <f aca="false">D20+D19</f>
        <v>82.836</v>
      </c>
      <c r="E21" s="23" t="n">
        <f aca="false">E20+E19</f>
        <v>93.576</v>
      </c>
      <c r="F21" s="23" t="n">
        <f aca="false">F20+F19</f>
        <v>112.316</v>
      </c>
      <c r="G21" s="23" t="n">
        <f aca="false">G20+G19</f>
        <v>140.56988</v>
      </c>
      <c r="H21" s="23" t="n">
        <f aca="false">H20+H19</f>
        <v>177.6118256</v>
      </c>
      <c r="I21" s="23" t="n">
        <f aca="false">I20+I19</f>
        <v>223.752345216</v>
      </c>
      <c r="J21" s="23" t="n">
        <f aca="false">J20+J19</f>
        <v>279.1815919936</v>
      </c>
      <c r="K21" s="23" t="n">
        <f aca="false">K20+K19</f>
        <v>343.948240453184</v>
      </c>
      <c r="L21" s="23" t="n">
        <f aca="false">L20+L19</f>
        <v>417.941307208735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L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12" min="3" style="0" width="11"/>
  </cols>
  <sheetData>
    <row r="2" customFormat="false" ht="22.05" hidden="false" customHeight="false" outlineLevel="0" collapsed="false">
      <c r="B2" s="11" t="s">
        <v>80</v>
      </c>
    </row>
    <row r="3" customFormat="false" ht="15" hidden="false" customHeight="false" outlineLevel="0" collapsed="false">
      <c r="B3" s="3" t="s">
        <v>81</v>
      </c>
    </row>
    <row r="5" customFormat="false" ht="15" hidden="false" customHeight="false" outlineLevel="0" collapsed="false">
      <c r="C5" s="12" t="s">
        <v>20</v>
      </c>
      <c r="D5" s="12" t="s">
        <v>21</v>
      </c>
      <c r="E5" s="12" t="s">
        <v>22</v>
      </c>
      <c r="F5" s="12" t="s">
        <v>23</v>
      </c>
      <c r="G5" s="12" t="s">
        <v>24</v>
      </c>
      <c r="H5" s="12" t="s">
        <v>25</v>
      </c>
      <c r="I5" s="12" t="s">
        <v>26</v>
      </c>
      <c r="J5" s="12" t="s">
        <v>27</v>
      </c>
      <c r="K5" s="12" t="s">
        <v>28</v>
      </c>
      <c r="L5" s="12" t="s">
        <v>29</v>
      </c>
    </row>
    <row r="6" customFormat="false" ht="15" hidden="false" customHeight="false" outlineLevel="0" collapsed="false">
      <c r="B6" s="13" t="s">
        <v>82</v>
      </c>
      <c r="C6" s="14"/>
      <c r="D6" s="14"/>
      <c r="E6" s="14"/>
      <c r="F6" s="14"/>
      <c r="G6" s="14"/>
      <c r="H6" s="14"/>
      <c r="I6" s="14"/>
      <c r="J6" s="14"/>
      <c r="K6" s="14"/>
      <c r="L6" s="14"/>
    </row>
    <row r="7" customFormat="false" ht="15" hidden="false" customHeight="false" outlineLevel="0" collapsed="false">
      <c r="B7" s="6" t="s">
        <v>83</v>
      </c>
      <c r="C7" s="20" t="n">
        <f aca="false">'Cash Flow Statement'!C21</f>
        <v>79.96</v>
      </c>
      <c r="D7" s="20" t="n">
        <f aca="false">'Cash Flow Statement'!D21</f>
        <v>82.836</v>
      </c>
      <c r="E7" s="20" t="n">
        <f aca="false">'Cash Flow Statement'!E21</f>
        <v>93.576</v>
      </c>
      <c r="F7" s="20" t="n">
        <f aca="false">'Cash Flow Statement'!F21</f>
        <v>112.316</v>
      </c>
      <c r="G7" s="20" t="n">
        <f aca="false">'Cash Flow Statement'!G21</f>
        <v>140.56988</v>
      </c>
      <c r="H7" s="20" t="n">
        <f aca="false">'Cash Flow Statement'!H21</f>
        <v>177.6118256</v>
      </c>
      <c r="I7" s="20" t="n">
        <f aca="false">'Cash Flow Statement'!I21</f>
        <v>223.752345216</v>
      </c>
      <c r="J7" s="20" t="n">
        <f aca="false">'Cash Flow Statement'!J21</f>
        <v>279.1815919936</v>
      </c>
      <c r="K7" s="20" t="n">
        <f aca="false">'Cash Flow Statement'!K21</f>
        <v>343.948240453184</v>
      </c>
      <c r="L7" s="20" t="n">
        <f aca="false">'Cash Flow Statement'!L21</f>
        <v>417.941307208735</v>
      </c>
    </row>
    <row r="8" customFormat="false" ht="15" hidden="false" customHeight="false" outlineLevel="0" collapsed="false">
      <c r="B8" s="6" t="s">
        <v>84</v>
      </c>
      <c r="C8" s="20" t="n">
        <f aca="false">Assumptions!C7*Assumptions!C14</f>
        <v>33.9</v>
      </c>
      <c r="D8" s="20" t="n">
        <f aca="false">Assumptions!D7*Assumptions!D14</f>
        <v>38.4</v>
      </c>
      <c r="E8" s="20" t="n">
        <f aca="false">Assumptions!E7*Assumptions!E14</f>
        <v>43.5</v>
      </c>
      <c r="F8" s="20" t="n">
        <f aca="false">Assumptions!F7*Assumptions!F14</f>
        <v>49.2</v>
      </c>
      <c r="G8" s="20" t="n">
        <f aca="false">Assumptions!G7*Assumptions!G14</f>
        <v>55.596</v>
      </c>
      <c r="H8" s="20" t="n">
        <f aca="false">Assumptions!H7*Assumptions!H14</f>
        <v>62.26752</v>
      </c>
      <c r="I8" s="20" t="n">
        <f aca="false">Assumptions!I7*Assumptions!I14</f>
        <v>69.1169472</v>
      </c>
      <c r="J8" s="20" t="n">
        <f aca="false">Assumptions!J7*Assumptions!J14</f>
        <v>76.02864192</v>
      </c>
      <c r="K8" s="20" t="n">
        <f aca="false">Assumptions!K7*Assumptions!K14</f>
        <v>82.8712196928</v>
      </c>
      <c r="L8" s="20" t="n">
        <f aca="false">Assumptions!L7*Assumptions!L14</f>
        <v>89.500917268224</v>
      </c>
    </row>
    <row r="9" customFormat="false" ht="15" hidden="false" customHeight="false" outlineLevel="0" collapsed="false">
      <c r="B9" s="6" t="s">
        <v>85</v>
      </c>
      <c r="C9" s="16" t="n">
        <f aca="false">Assumptions!$C$25+(-'Cash Flow Statement'!C12)-'Income Statement'!C9</f>
        <v>402.825</v>
      </c>
      <c r="D9" s="16" t="n">
        <f aca="false">C9+(-'Cash Flow Statement'!D12)-'Income Statement'!D9</f>
        <v>406.025</v>
      </c>
      <c r="E9" s="16" t="n">
        <f aca="false">D9+(-'Cash Flow Statement'!E12)-'Income Statement'!E9</f>
        <v>409.65</v>
      </c>
      <c r="F9" s="16" t="n">
        <f aca="false">E9+(-'Cash Flow Statement'!F12)-'Income Statement'!F9</f>
        <v>413.75</v>
      </c>
      <c r="G9" s="16" t="n">
        <f aca="false">F9+(-'Cash Flow Statement'!G12)-'Income Statement'!G9</f>
        <v>418.383</v>
      </c>
      <c r="H9" s="16" t="n">
        <f aca="false">G9+(-'Cash Flow Statement'!H12)-'Income Statement'!H9</f>
        <v>423.57196</v>
      </c>
      <c r="I9" s="16" t="n">
        <f aca="false">H9+(-'Cash Flow Statement'!I12)-'Income Statement'!I9</f>
        <v>429.3317056</v>
      </c>
      <c r="J9" s="16" t="n">
        <f aca="false">I9+(-'Cash Flow Statement'!J12)-'Income Statement'!J9</f>
        <v>435.66742576</v>
      </c>
      <c r="K9" s="16" t="n">
        <f aca="false">J9+(-'Cash Flow Statement'!K12)-'Income Statement'!K9</f>
        <v>442.5733607344</v>
      </c>
      <c r="L9" s="16" t="n">
        <f aca="false">K9+(-'Cash Flow Statement'!L12)-'Income Statement'!L9</f>
        <v>450.031770506752</v>
      </c>
    </row>
    <row r="10" customFormat="false" ht="15" hidden="false" customHeight="false" outlineLevel="0" collapsed="false">
      <c r="B10" s="4" t="s">
        <v>86</v>
      </c>
      <c r="C10" s="23" t="n">
        <f aca="false">SUM(C7:C9)</f>
        <v>516.685</v>
      </c>
      <c r="D10" s="23" t="n">
        <f aca="false">SUM(D7:D9)</f>
        <v>527.261</v>
      </c>
      <c r="E10" s="23" t="n">
        <f aca="false">SUM(E7:E9)</f>
        <v>546.726</v>
      </c>
      <c r="F10" s="23" t="n">
        <f aca="false">SUM(F7:F9)</f>
        <v>575.266</v>
      </c>
      <c r="G10" s="23" t="n">
        <f aca="false">SUM(G7:G9)</f>
        <v>614.54888</v>
      </c>
      <c r="H10" s="23" t="n">
        <f aca="false">SUM(H7:H9)</f>
        <v>663.4513056</v>
      </c>
      <c r="I10" s="23" t="n">
        <f aca="false">SUM(I7:I9)</f>
        <v>722.200998016</v>
      </c>
      <c r="J10" s="23" t="n">
        <f aca="false">SUM(J7:J9)</f>
        <v>790.8776596736</v>
      </c>
      <c r="K10" s="23" t="n">
        <f aca="false">SUM(K7:K9)</f>
        <v>869.392820880384</v>
      </c>
      <c r="L10" s="23" t="n">
        <f aca="false">SUM(L7:L9)</f>
        <v>957.473994983711</v>
      </c>
    </row>
    <row r="11" customFormat="false" ht="15" hidden="false" customHeight="false" outlineLevel="0" collapsed="false">
      <c r="B11" s="13" t="s">
        <v>87</v>
      </c>
      <c r="C11" s="14"/>
      <c r="D11" s="14"/>
      <c r="E11" s="14"/>
      <c r="F11" s="14"/>
      <c r="G11" s="14"/>
      <c r="H11" s="14"/>
      <c r="I11" s="14"/>
      <c r="J11" s="14"/>
      <c r="K11" s="14"/>
      <c r="L11" s="14"/>
    </row>
    <row r="12" customFormat="false" ht="15" hidden="false" customHeight="false" outlineLevel="0" collapsed="false">
      <c r="B12" s="6" t="s">
        <v>88</v>
      </c>
      <c r="C12" s="20" t="n">
        <f aca="false">Assumptions!C18</f>
        <v>280</v>
      </c>
      <c r="D12" s="20" t="n">
        <f aca="false">Assumptions!D18</f>
        <v>260</v>
      </c>
      <c r="E12" s="20" t="n">
        <f aca="false">Assumptions!E18</f>
        <v>240</v>
      </c>
      <c r="F12" s="20" t="n">
        <f aca="false">Assumptions!F18</f>
        <v>220</v>
      </c>
      <c r="G12" s="20" t="n">
        <f aca="false">Assumptions!G18</f>
        <v>200</v>
      </c>
      <c r="H12" s="20" t="n">
        <f aca="false">Assumptions!H18</f>
        <v>180</v>
      </c>
      <c r="I12" s="20" t="n">
        <f aca="false">Assumptions!I18</f>
        <v>160</v>
      </c>
      <c r="J12" s="20" t="n">
        <f aca="false">Assumptions!J18</f>
        <v>140</v>
      </c>
      <c r="K12" s="20" t="n">
        <f aca="false">Assumptions!K18</f>
        <v>120</v>
      </c>
      <c r="L12" s="20" t="n">
        <f aca="false">Assumptions!L18</f>
        <v>100</v>
      </c>
    </row>
    <row r="13" customFormat="false" ht="15" hidden="false" customHeight="false" outlineLevel="0" collapsed="false">
      <c r="B13" s="6" t="s">
        <v>89</v>
      </c>
      <c r="C13" s="16" t="n">
        <f aca="false">Assumptions!$C$27+'Income Statement'!C16</f>
        <v>236.685</v>
      </c>
      <c r="D13" s="16" t="n">
        <f aca="false">C13+'Income Statement'!D16</f>
        <v>267.261</v>
      </c>
      <c r="E13" s="16" t="n">
        <f aca="false">D13+'Income Statement'!E16</f>
        <v>306.726</v>
      </c>
      <c r="F13" s="16" t="n">
        <f aca="false">E13+'Income Statement'!F16</f>
        <v>355.266</v>
      </c>
      <c r="G13" s="16" t="n">
        <f aca="false">F13+'Income Statement'!G16</f>
        <v>414.54888</v>
      </c>
      <c r="H13" s="16" t="n">
        <f aca="false">G13+'Income Statement'!H16</f>
        <v>483.4513056</v>
      </c>
      <c r="I13" s="16" t="n">
        <f aca="false">H13+'Income Statement'!I16</f>
        <v>562.200998016</v>
      </c>
      <c r="J13" s="16" t="n">
        <f aca="false">I13+'Income Statement'!J16</f>
        <v>650.8776596736</v>
      </c>
      <c r="K13" s="16" t="n">
        <f aca="false">J13+'Income Statement'!K16</f>
        <v>749.392820880384</v>
      </c>
      <c r="L13" s="16" t="n">
        <f aca="false">K13+'Income Statement'!L16</f>
        <v>857.473994983711</v>
      </c>
    </row>
    <row r="14" customFormat="false" ht="15" hidden="false" customHeight="false" outlineLevel="0" collapsed="false">
      <c r="B14" s="4" t="s">
        <v>90</v>
      </c>
      <c r="C14" s="23" t="n">
        <f aca="false">C12+C13</f>
        <v>516.685</v>
      </c>
      <c r="D14" s="23" t="n">
        <f aca="false">D12+D13</f>
        <v>527.261</v>
      </c>
      <c r="E14" s="23" t="n">
        <f aca="false">E12+E13</f>
        <v>546.726</v>
      </c>
      <c r="F14" s="23" t="n">
        <f aca="false">F12+F13</f>
        <v>575.266</v>
      </c>
      <c r="G14" s="23" t="n">
        <f aca="false">G12+G13</f>
        <v>614.54888</v>
      </c>
      <c r="H14" s="23" t="n">
        <f aca="false">H12+H13</f>
        <v>663.4513056</v>
      </c>
      <c r="I14" s="23" t="n">
        <f aca="false">I12+I13</f>
        <v>722.200998016</v>
      </c>
      <c r="J14" s="23" t="n">
        <f aca="false">J12+J13</f>
        <v>790.8776596736</v>
      </c>
      <c r="K14" s="23" t="n">
        <f aca="false">K12+K13</f>
        <v>869.392820880384</v>
      </c>
      <c r="L14" s="23" t="n">
        <f aca="false">L12+L13</f>
        <v>957.473994983711</v>
      </c>
    </row>
    <row r="16" customFormat="false" ht="15" hidden="false" customHeight="false" outlineLevel="0" collapsed="false">
      <c r="B16" s="4" t="s">
        <v>91</v>
      </c>
      <c r="C16" s="16" t="n">
        <f aca="false">C10-C14</f>
        <v>0</v>
      </c>
      <c r="D16" s="16" t="n">
        <f aca="false">D10-D14</f>
        <v>0</v>
      </c>
      <c r="E16" s="16" t="n">
        <f aca="false">E10-E14</f>
        <v>0</v>
      </c>
      <c r="F16" s="16" t="n">
        <f aca="false">F10-F14</f>
        <v>0</v>
      </c>
      <c r="G16" s="16" t="n">
        <f aca="false">G10-G14</f>
        <v>0</v>
      </c>
      <c r="H16" s="16" t="n">
        <f aca="false">H10-H14</f>
        <v>0</v>
      </c>
      <c r="I16" s="16" t="n">
        <f aca="false">I10-I14</f>
        <v>0</v>
      </c>
      <c r="J16" s="16" t="n">
        <f aca="false">J10-J14</f>
        <v>0</v>
      </c>
      <c r="K16" s="16" t="n">
        <f aca="false">K10-K14</f>
        <v>0</v>
      </c>
      <c r="L16" s="16" t="n">
        <f aca="false">L10-L14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44"/>
    <col collapsed="false" customWidth="true" hidden="false" outlineLevel="0" max="3" min="3" style="0" width="14"/>
    <col collapsed="false" customWidth="true" hidden="false" outlineLevel="0" max="4" min="4" style="0" width="40"/>
  </cols>
  <sheetData>
    <row r="2" customFormat="false" ht="22.05" hidden="false" customHeight="false" outlineLevel="0" collapsed="false">
      <c r="B2" s="11" t="s">
        <v>92</v>
      </c>
    </row>
    <row r="3" customFormat="false" ht="15" hidden="false" customHeight="false" outlineLevel="0" collapsed="false">
      <c r="B3" s="3" t="s">
        <v>93</v>
      </c>
    </row>
    <row r="5" customFormat="false" ht="15" hidden="false" customHeight="false" outlineLevel="0" collapsed="false">
      <c r="B5" s="13" t="s">
        <v>94</v>
      </c>
      <c r="C5" s="14"/>
      <c r="D5" s="14"/>
      <c r="E5" s="14"/>
      <c r="F5" s="14"/>
      <c r="G5" s="14"/>
      <c r="H5" s="14"/>
      <c r="I5" s="14"/>
      <c r="J5" s="14"/>
      <c r="K5" s="14"/>
      <c r="L5" s="14"/>
    </row>
    <row r="6" customFormat="false" ht="15" hidden="false" customHeight="false" outlineLevel="0" collapsed="false">
      <c r="B6" s="6" t="s">
        <v>95</v>
      </c>
      <c r="C6" s="24" t="n">
        <v>0.0685</v>
      </c>
      <c r="D6" s="3" t="s">
        <v>96</v>
      </c>
    </row>
    <row r="7" customFormat="false" ht="15" hidden="false" customHeight="false" outlineLevel="0" collapsed="false">
      <c r="B7" s="6" t="s">
        <v>97</v>
      </c>
      <c r="C7" s="25" t="n">
        <v>1.2</v>
      </c>
      <c r="D7" s="3" t="s">
        <v>98</v>
      </c>
    </row>
    <row r="8" customFormat="false" ht="15" hidden="false" customHeight="false" outlineLevel="0" collapsed="false">
      <c r="B8" s="6" t="s">
        <v>99</v>
      </c>
      <c r="C8" s="24" t="n">
        <v>0.075</v>
      </c>
      <c r="D8" s="3" t="s">
        <v>100</v>
      </c>
    </row>
    <row r="9" customFormat="false" ht="15" hidden="false" customHeight="false" outlineLevel="0" collapsed="false">
      <c r="B9" s="6" t="s">
        <v>101</v>
      </c>
      <c r="C9" s="24" t="n">
        <v>0.015</v>
      </c>
      <c r="D9" s="3" t="s">
        <v>102</v>
      </c>
    </row>
    <row r="10" customFormat="false" ht="15" hidden="false" customHeight="false" outlineLevel="0" collapsed="false">
      <c r="B10" s="4" t="s">
        <v>103</v>
      </c>
      <c r="C10" s="26" t="n">
        <f aca="false">C6+C7*C8+C9</f>
        <v>0.1735</v>
      </c>
    </row>
    <row r="12" customFormat="false" ht="15" hidden="false" customHeight="false" outlineLevel="0" collapsed="false">
      <c r="B12" s="13" t="s">
        <v>104</v>
      </c>
      <c r="C12" s="14"/>
      <c r="D12" s="14"/>
      <c r="E12" s="14"/>
      <c r="F12" s="14"/>
      <c r="G12" s="14"/>
      <c r="H12" s="14"/>
      <c r="I12" s="14"/>
      <c r="J12" s="14"/>
      <c r="K12" s="14"/>
      <c r="L12" s="14"/>
    </row>
    <row r="13" customFormat="false" ht="15" hidden="false" customHeight="false" outlineLevel="0" collapsed="false">
      <c r="B13" s="6" t="s">
        <v>105</v>
      </c>
      <c r="C13" s="24" t="n">
        <v>0.09</v>
      </c>
    </row>
    <row r="14" customFormat="false" ht="15" hidden="false" customHeight="false" outlineLevel="0" collapsed="false">
      <c r="B14" s="6" t="s">
        <v>106</v>
      </c>
      <c r="C14" s="24" t="n">
        <v>0.25</v>
      </c>
    </row>
    <row r="15" customFormat="false" ht="15" hidden="false" customHeight="false" outlineLevel="0" collapsed="false">
      <c r="B15" s="4" t="s">
        <v>107</v>
      </c>
      <c r="C15" s="26" t="n">
        <f aca="false">C13*(1-C14)</f>
        <v>0.0675</v>
      </c>
    </row>
    <row r="17" customFormat="false" ht="15" hidden="false" customHeight="false" outlineLevel="0" collapsed="false">
      <c r="B17" s="13" t="s">
        <v>108</v>
      </c>
      <c r="C17" s="14"/>
      <c r="D17" s="14"/>
      <c r="E17" s="14"/>
      <c r="F17" s="14"/>
      <c r="G17" s="14"/>
      <c r="H17" s="14"/>
      <c r="I17" s="14"/>
      <c r="J17" s="14"/>
      <c r="K17" s="14"/>
      <c r="L17" s="14"/>
    </row>
    <row r="18" customFormat="false" ht="15" hidden="false" customHeight="false" outlineLevel="0" collapsed="false">
      <c r="B18" s="6" t="s">
        <v>109</v>
      </c>
      <c r="C18" s="24" t="n">
        <v>0.806603773584906</v>
      </c>
    </row>
    <row r="19" customFormat="false" ht="15" hidden="false" customHeight="false" outlineLevel="0" collapsed="false">
      <c r="B19" s="6" t="s">
        <v>110</v>
      </c>
      <c r="C19" s="27" t="n">
        <f aca="false">1-C18</f>
        <v>0.193396226415094</v>
      </c>
    </row>
    <row r="21" customFormat="false" ht="15" hidden="false" customHeight="false" outlineLevel="0" collapsed="false">
      <c r="B21" s="13" t="s">
        <v>111</v>
      </c>
      <c r="C21" s="14"/>
      <c r="D21" s="14"/>
      <c r="E21" s="14"/>
      <c r="F21" s="14"/>
      <c r="G21" s="14"/>
      <c r="H21" s="14"/>
      <c r="I21" s="14"/>
      <c r="J21" s="14"/>
      <c r="K21" s="14"/>
      <c r="L21" s="14"/>
    </row>
    <row r="22" customFormat="false" ht="15" hidden="false" customHeight="false" outlineLevel="0" collapsed="false">
      <c r="B22" s="4" t="s">
        <v>112</v>
      </c>
      <c r="C22" s="28" t="n">
        <f aca="false">C18*C10+C19*C15</f>
        <v>0.153</v>
      </c>
    </row>
    <row r="23" customFormat="false" ht="15" hidden="false" customHeight="false" outlineLevel="0" collapsed="false">
      <c r="B23" s="3" t="s">
        <v>113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L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44"/>
    <col collapsed="false" customWidth="true" hidden="false" outlineLevel="0" max="11" min="3" style="0" width="12"/>
  </cols>
  <sheetData>
    <row r="2" customFormat="false" ht="22.05" hidden="false" customHeight="false" outlineLevel="0" collapsed="false">
      <c r="B2" s="11" t="s">
        <v>114</v>
      </c>
    </row>
    <row r="3" customFormat="false" ht="15" hidden="false" customHeight="false" outlineLevel="0" collapsed="false">
      <c r="B3" s="3" t="s">
        <v>115</v>
      </c>
    </row>
    <row r="5" customFormat="false" ht="15" hidden="false" customHeight="false" outlineLevel="0" collapsed="false">
      <c r="B5" s="4" t="s">
        <v>116</v>
      </c>
      <c r="C5" s="12" t="s">
        <v>24</v>
      </c>
      <c r="D5" s="12" t="s">
        <v>25</v>
      </c>
      <c r="E5" s="12" t="s">
        <v>26</v>
      </c>
      <c r="F5" s="12" t="s">
        <v>27</v>
      </c>
      <c r="G5" s="12" t="s">
        <v>28</v>
      </c>
      <c r="H5" s="12" t="s">
        <v>29</v>
      </c>
    </row>
    <row r="6" customFormat="false" ht="15" hidden="false" customHeight="false" outlineLevel="0" collapsed="false">
      <c r="B6" s="6" t="s">
        <v>54</v>
      </c>
      <c r="C6" s="20" t="n">
        <f aca="false">'Income Statement'!G8</f>
        <v>118.6048</v>
      </c>
      <c r="D6" s="20" t="n">
        <f aca="false">'Income Statement'!H8</f>
        <v>132.837376</v>
      </c>
      <c r="E6" s="20" t="n">
        <f aca="false">'Income Statement'!I8</f>
        <v>147.44948736</v>
      </c>
      <c r="F6" s="20" t="n">
        <f aca="false">'Income Statement'!J8</f>
        <v>162.194436096</v>
      </c>
      <c r="G6" s="20" t="n">
        <f aca="false">'Income Statement'!K8</f>
        <v>176.79193534464</v>
      </c>
      <c r="H6" s="20" t="n">
        <f aca="false">'Income Statement'!L8</f>
        <v>190.935290172211</v>
      </c>
    </row>
    <row r="7" customFormat="false" ht="15" hidden="false" customHeight="false" outlineLevel="0" collapsed="false">
      <c r="B7" s="6" t="s">
        <v>106</v>
      </c>
      <c r="C7" s="21" t="n">
        <f aca="false">Assumptions!G19</f>
        <v>0.25</v>
      </c>
      <c r="D7" s="21" t="n">
        <f aca="false">Assumptions!H19</f>
        <v>0.25</v>
      </c>
      <c r="E7" s="21" t="n">
        <f aca="false">Assumptions!I19</f>
        <v>0.25</v>
      </c>
      <c r="F7" s="21" t="n">
        <f aca="false">Assumptions!J19</f>
        <v>0.25</v>
      </c>
      <c r="G7" s="21" t="n">
        <f aca="false">Assumptions!K19</f>
        <v>0.25</v>
      </c>
      <c r="H7" s="21" t="n">
        <f aca="false">Assumptions!L19</f>
        <v>0.25</v>
      </c>
    </row>
    <row r="8" customFormat="false" ht="15" hidden="false" customHeight="false" outlineLevel="0" collapsed="false">
      <c r="B8" s="6" t="s">
        <v>117</v>
      </c>
      <c r="C8" s="16" t="n">
        <f aca="false">C6*(1-C7)</f>
        <v>88.9536</v>
      </c>
      <c r="D8" s="16" t="n">
        <f aca="false">D6*(1-D7)</f>
        <v>99.628032</v>
      </c>
      <c r="E8" s="16" t="n">
        <f aca="false">E6*(1-E7)</f>
        <v>110.58711552</v>
      </c>
      <c r="F8" s="16" t="n">
        <f aca="false">F6*(1-F7)</f>
        <v>121.645827072</v>
      </c>
      <c r="G8" s="16" t="n">
        <f aca="false">G6*(1-G7)</f>
        <v>132.59395150848</v>
      </c>
      <c r="H8" s="16" t="n">
        <f aca="false">H6*(1-H7)</f>
        <v>143.201467629158</v>
      </c>
    </row>
    <row r="9" customFormat="false" ht="15" hidden="false" customHeight="false" outlineLevel="0" collapsed="false">
      <c r="B9" s="6" t="s">
        <v>68</v>
      </c>
      <c r="C9" s="20" t="n">
        <f aca="false">'Income Statement'!G9</f>
        <v>32.431</v>
      </c>
      <c r="D9" s="20" t="n">
        <f aca="false">'Income Statement'!H9</f>
        <v>36.32272</v>
      </c>
      <c r="E9" s="20" t="n">
        <f aca="false">'Income Statement'!I9</f>
        <v>40.3182192</v>
      </c>
      <c r="F9" s="20" t="n">
        <f aca="false">'Income Statement'!J9</f>
        <v>44.35004112</v>
      </c>
      <c r="G9" s="20" t="n">
        <f aca="false">'Income Statement'!K9</f>
        <v>48.3415448208</v>
      </c>
      <c r="H9" s="20" t="n">
        <f aca="false">'Income Statement'!L9</f>
        <v>52.208868406464</v>
      </c>
    </row>
    <row r="10" customFormat="false" ht="15" hidden="false" customHeight="false" outlineLevel="0" collapsed="false">
      <c r="B10" s="6" t="s">
        <v>118</v>
      </c>
      <c r="C10" s="20" t="n">
        <f aca="false">'Cash Flow Statement'!G12</f>
        <v>-37.064</v>
      </c>
      <c r="D10" s="20" t="n">
        <f aca="false">'Cash Flow Statement'!H12</f>
        <v>-41.51168</v>
      </c>
      <c r="E10" s="20" t="n">
        <f aca="false">'Cash Flow Statement'!I12</f>
        <v>-46.0779648</v>
      </c>
      <c r="F10" s="20" t="n">
        <f aca="false">'Cash Flow Statement'!J12</f>
        <v>-50.68576128</v>
      </c>
      <c r="G10" s="20" t="n">
        <f aca="false">'Cash Flow Statement'!K12</f>
        <v>-55.2474797952</v>
      </c>
      <c r="H10" s="20" t="n">
        <f aca="false">'Cash Flow Statement'!L12</f>
        <v>-59.667278178816</v>
      </c>
    </row>
    <row r="11" customFormat="false" ht="15" hidden="false" customHeight="false" outlineLevel="0" collapsed="false">
      <c r="B11" s="6" t="s">
        <v>69</v>
      </c>
      <c r="C11" s="20" t="n">
        <f aca="false">'Cash Flow Statement'!G9</f>
        <v>-6.39599999999999</v>
      </c>
      <c r="D11" s="20" t="n">
        <f aca="false">'Cash Flow Statement'!H9</f>
        <v>-6.67152</v>
      </c>
      <c r="E11" s="20" t="n">
        <f aca="false">'Cash Flow Statement'!I9</f>
        <v>-6.84942720000001</v>
      </c>
      <c r="F11" s="20" t="n">
        <f aca="false">'Cash Flow Statement'!J9</f>
        <v>-6.91169472000001</v>
      </c>
      <c r="G11" s="20" t="n">
        <f aca="false">'Cash Flow Statement'!K9</f>
        <v>-6.8425777728</v>
      </c>
      <c r="H11" s="20" t="n">
        <f aca="false">'Cash Flow Statement'!L9</f>
        <v>-6.629697575424</v>
      </c>
    </row>
    <row r="12" customFormat="false" ht="15" hidden="false" customHeight="false" outlineLevel="0" collapsed="false">
      <c r="B12" s="4" t="s">
        <v>119</v>
      </c>
      <c r="C12" s="22" t="n">
        <f aca="false">C8+C9+C10+C11</f>
        <v>77.9246</v>
      </c>
      <c r="D12" s="22" t="n">
        <f aca="false">D8+D9+D10+D11</f>
        <v>87.767552</v>
      </c>
      <c r="E12" s="22" t="n">
        <f aca="false">E8+E9+E10+E11</f>
        <v>97.97794272</v>
      </c>
      <c r="F12" s="22" t="n">
        <f aca="false">F8+F9+F10+F11</f>
        <v>108.398412192</v>
      </c>
      <c r="G12" s="22" t="n">
        <f aca="false">G8+G9+G10+G11</f>
        <v>118.84543876128</v>
      </c>
      <c r="H12" s="22" t="n">
        <f aca="false">H8+H9+H10+H11</f>
        <v>129.113360281382</v>
      </c>
    </row>
    <row r="13" customFormat="false" ht="15" hidden="false" customHeight="false" outlineLevel="0" collapsed="false">
      <c r="B13" s="6" t="s">
        <v>120</v>
      </c>
      <c r="C13" s="29" t="n">
        <v>1</v>
      </c>
      <c r="D13" s="29" t="n">
        <v>2</v>
      </c>
      <c r="E13" s="29" t="n">
        <v>3</v>
      </c>
      <c r="F13" s="29" t="n">
        <v>4</v>
      </c>
      <c r="G13" s="29" t="n">
        <v>5</v>
      </c>
      <c r="H13" s="29" t="n">
        <v>6</v>
      </c>
    </row>
    <row r="14" customFormat="false" ht="15" hidden="false" customHeight="false" outlineLevel="0" collapsed="false">
      <c r="B14" s="6" t="s">
        <v>121</v>
      </c>
      <c r="C14" s="30" t="n">
        <f aca="false">1/(1+$C$20)^C13</f>
        <v>0.867302688638335</v>
      </c>
      <c r="D14" s="30" t="n">
        <f aca="false">1/(1+$C$20)^D13</f>
        <v>0.752213953719284</v>
      </c>
      <c r="E14" s="30" t="n">
        <f aca="false">1/(1+$C$20)^E13</f>
        <v>0.652397184492007</v>
      </c>
      <c r="F14" s="30" t="n">
        <f aca="false">1/(1+$C$20)^F13</f>
        <v>0.565825832169998</v>
      </c>
      <c r="G14" s="30" t="n">
        <f aca="false">1/(1+$C$20)^G13</f>
        <v>0.490742265542062</v>
      </c>
      <c r="H14" s="30" t="n">
        <f aca="false">1/(1+$C$20)^H13</f>
        <v>0.425622086333098</v>
      </c>
    </row>
    <row r="15" customFormat="false" ht="15" hidden="false" customHeight="false" outlineLevel="0" collapsed="false">
      <c r="B15" s="6" t="s">
        <v>122</v>
      </c>
      <c r="C15" s="16" t="n">
        <f aca="false">C12*C14</f>
        <v>67.5842150910668</v>
      </c>
      <c r="D15" s="16" t="n">
        <f aca="false">D12*D14</f>
        <v>66.0199772981829</v>
      </c>
      <c r="E15" s="16" t="n">
        <f aca="false">E12*E14</f>
        <v>63.9205339728471</v>
      </c>
      <c r="F15" s="16" t="n">
        <f aca="false">F12*F14</f>
        <v>61.3346217844448</v>
      </c>
      <c r="G15" s="16" t="n">
        <f aca="false">G12*G14</f>
        <v>58.322479867051</v>
      </c>
      <c r="H15" s="16" t="n">
        <f aca="false">H12*H14</f>
        <v>54.9534977764389</v>
      </c>
    </row>
    <row r="18" customFormat="false" ht="15" hidden="false" customHeight="false" outlineLevel="0" collapsed="false">
      <c r="B18" s="13" t="s">
        <v>123</v>
      </c>
      <c r="C18" s="14"/>
      <c r="D18" s="14"/>
      <c r="E18" s="14"/>
      <c r="F18" s="14"/>
      <c r="G18" s="14"/>
      <c r="H18" s="14"/>
      <c r="I18" s="14"/>
      <c r="J18" s="14"/>
      <c r="K18" s="14"/>
      <c r="L18" s="14"/>
    </row>
    <row r="19" customFormat="false" ht="15" hidden="false" customHeight="false" outlineLevel="0" collapsed="false">
      <c r="B19" s="6" t="s">
        <v>8</v>
      </c>
      <c r="C19" s="31" t="n">
        <f aca="false">WACC!C22</f>
        <v>0.153</v>
      </c>
    </row>
    <row r="20" customFormat="false" ht="15" hidden="false" customHeight="false" outlineLevel="0" collapsed="false">
      <c r="B20" s="6" t="s">
        <v>124</v>
      </c>
      <c r="C20" s="27" t="n">
        <f aca="false">C19</f>
        <v>0.153</v>
      </c>
    </row>
    <row r="21" customFormat="false" ht="15" hidden="false" customHeight="false" outlineLevel="0" collapsed="false">
      <c r="B21" s="6" t="s">
        <v>125</v>
      </c>
      <c r="C21" s="24" t="n">
        <v>0.05</v>
      </c>
    </row>
    <row r="22" customFormat="false" ht="15" hidden="false" customHeight="false" outlineLevel="0" collapsed="false">
      <c r="B22" s="6" t="s">
        <v>126</v>
      </c>
      <c r="C22" s="32" t="n">
        <f aca="false">SUM(C15:H15)</f>
        <v>372.135325790032</v>
      </c>
    </row>
    <row r="23" customFormat="false" ht="15" hidden="false" customHeight="false" outlineLevel="0" collapsed="false">
      <c r="B23" s="6" t="s">
        <v>127</v>
      </c>
      <c r="C23" s="32" t="n">
        <f aca="false">H12*(1+C21)/(C20-C21)</f>
        <v>1316.20415820827</v>
      </c>
    </row>
    <row r="24" customFormat="false" ht="15" hidden="false" customHeight="false" outlineLevel="0" collapsed="false">
      <c r="B24" s="6" t="s">
        <v>128</v>
      </c>
      <c r="C24" s="32" t="n">
        <f aca="false">C23*H14</f>
        <v>560.205559856902</v>
      </c>
    </row>
    <row r="25" customFormat="false" ht="15" hidden="false" customHeight="false" outlineLevel="0" collapsed="false">
      <c r="B25" s="4" t="s">
        <v>129</v>
      </c>
      <c r="C25" s="33" t="n">
        <f aca="false">C22+C24</f>
        <v>932.340885646933</v>
      </c>
    </row>
    <row r="26" customFormat="false" ht="15" hidden="false" customHeight="false" outlineLevel="0" collapsed="false">
      <c r="B26" s="6" t="s">
        <v>130</v>
      </c>
      <c r="C26" s="34" t="n">
        <f aca="false">-('Balance Sheet'!F12-'Balance Sheet'!F7)</f>
        <v>-107.684</v>
      </c>
    </row>
    <row r="27" customFormat="false" ht="15" hidden="false" customHeight="false" outlineLevel="0" collapsed="false">
      <c r="B27" s="4" t="s">
        <v>131</v>
      </c>
      <c r="C27" s="33" t="n">
        <f aca="false">C25+C26</f>
        <v>824.656885646933</v>
      </c>
    </row>
    <row r="28" customFormat="false" ht="15" hidden="false" customHeight="false" outlineLevel="0" collapsed="false">
      <c r="B28" s="6" t="s">
        <v>50</v>
      </c>
      <c r="C28" s="34" t="n">
        <f aca="false">Assumptions!C28</f>
        <v>12.5</v>
      </c>
    </row>
    <row r="29" customFormat="false" ht="15" hidden="false" customHeight="false" outlineLevel="0" collapsed="false">
      <c r="B29" s="4" t="s">
        <v>14</v>
      </c>
      <c r="C29" s="35" t="n">
        <f aca="false">C27/C28</f>
        <v>65.9725508517547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2026-06-22T12:08:44Z</dcterms:created>
  <dc:creator>openpyxl</dc:creator>
  <dc:description/>
  <dc:language>en-US</dc:language>
  <cp:lastModifiedBy/>
  <dcterms:modified xsi:type="dcterms:W3CDTF">2026-06-22T12:08:44Z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