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Construction &amp; Capex" sheetId="3" state="visible" r:id="rId5"/>
    <sheet name="Traffic &amp; Revenue" sheetId="4" state="visible" r:id="rId6"/>
    <sheet name="Opex" sheetId="5" state="visible" r:id="rId7"/>
    <sheet name="Debt Schedule" sheetId="6" state="visible" r:id="rId8"/>
    <sheet name="P&amp;L" sheetId="7" state="visible" r:id="rId9"/>
    <sheet name="Cash Flow" sheetId="8" state="visible" r:id="rId10"/>
    <sheet name="Balance Sheet" sheetId="9" state="visible" r:id="rId11"/>
    <sheet name="Returns &amp; DSCR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<sst xmlns="http://schemas.openxmlformats.org/spreadsheetml/2006/main" count="436" uniqueCount="230">
  <si>
    <t xml:space="preserve">MNB RESEARCH</t>
  </si>
  <si>
    <t xml:space="preserve">Institutional-grade financial modelling &amp; research</t>
  </si>
  <si>
    <t xml:space="preserve">BOT Toll Road
Project Finance Model</t>
  </si>
  <si>
    <t xml:space="preserve">Build–Operate–Transfer concession  •  20-year tolling life  •  INR Crores</t>
  </si>
  <si>
    <t xml:space="preserve">HEADLINE OUTPUTS</t>
  </si>
  <si>
    <t xml:space="preserve">Project IRR</t>
  </si>
  <si>
    <t xml:space="preserve">Equity IRR</t>
  </si>
  <si>
    <t xml:space="preserve">Equity NPV (INR Cr)</t>
  </si>
  <si>
    <t xml:space="preserve">Average DSCR</t>
  </si>
  <si>
    <t xml:space="preserve">Minimum DSCR</t>
  </si>
  <si>
    <t xml:space="preserve">Balance sheet ties (max diff)</t>
  </si>
  <si>
    <t xml:space="preserve">CONTENTS</t>
  </si>
  <si>
    <t xml:space="preserve">1  Assumptions</t>
  </si>
  <si>
    <t xml:space="preserve">Hard inputs &amp; key drivers</t>
  </si>
  <si>
    <t xml:space="preserve">2  Construction &amp; Capex</t>
  </si>
  <si>
    <t xml:space="preserve">Capex drawdown &amp; funding</t>
  </si>
  <si>
    <t xml:space="preserve">3  Traffic &amp; Revenue</t>
  </si>
  <si>
    <t xml:space="preserve">Toll revenue build</t>
  </si>
  <si>
    <t xml:space="preserve">4  Opex</t>
  </si>
  <si>
    <t xml:space="preserve">O&amp;M and major maintenance</t>
  </si>
  <si>
    <t xml:space="preserve">5  Debt Schedule</t>
  </si>
  <si>
    <t xml:space="preserve">Drawdown &amp; amortisation</t>
  </si>
  <si>
    <t xml:space="preserve">6  P&amp;L</t>
  </si>
  <si>
    <t xml:space="preserve">Revenue to PAT</t>
  </si>
  <si>
    <t xml:space="preserve">7  Cash Flow</t>
  </si>
  <si>
    <t xml:space="preserve">Project, equity &amp; CFADS</t>
  </si>
  <si>
    <t xml:space="preserve">8  Balance Sheet</t>
  </si>
  <si>
    <t xml:space="preserve">Ties every year</t>
  </si>
  <si>
    <t xml:space="preserve">9  Returns &amp; DSCR</t>
  </si>
  <si>
    <t xml:space="preserve">IRR, NPV, DSCR profile</t>
  </si>
  <si>
    <t xml:space="preserve">Colour key:</t>
  </si>
  <si>
    <t xml:space="preserve">Blue = inputs</t>
  </si>
  <si>
    <t xml:space="preserve">Black = formulas</t>
  </si>
  <si>
    <t xml:space="preserve">Green = cross-sheet links</t>
  </si>
  <si>
    <t xml:space="preserve">DISCLAIMER: Illustrative figures for demonstration only. This is a portfolio proof-of-quality sample prepared by MNB Research. Inputs are indicative and calibrated; the model does not represent any specific transaction and is not investment advice.</t>
  </si>
  <si>
    <t xml:space="preserve">MNB Research  |  BOT Toll Road — Project Finance Model</t>
  </si>
  <si>
    <t xml:space="preserve">Key Assumptions &amp; Inputs</t>
  </si>
  <si>
    <t xml:space="preserve">All blue cells are hard inputs. Currency: INR Crores (Cr) unless noted.</t>
  </si>
  <si>
    <t xml:space="preserve">1. Concession &amp; Timeline</t>
  </si>
  <si>
    <t xml:space="preserve">Construction period</t>
  </si>
  <si>
    <t xml:space="preserve">years</t>
  </si>
  <si>
    <t xml:space="preserve">EPC build phase</t>
  </si>
  <si>
    <t xml:space="preserve">Operations period</t>
  </si>
  <si>
    <t xml:space="preserve">Tolling phase</t>
  </si>
  <si>
    <t xml:space="preserve">Total concession term</t>
  </si>
  <si>
    <t xml:space="preserve">BOT concession life</t>
  </si>
  <si>
    <t xml:space="preserve">Base / financial-close year</t>
  </si>
  <si>
    <t xml:space="preserve">2026</t>
  </si>
  <si>
    <t xml:space="preserve">Year 0 reference</t>
  </si>
  <si>
    <t xml:space="preserve">2. Capital Cost (Capex)</t>
  </si>
  <si>
    <t xml:space="preserve">Total project cost (EPC + IDC + contingency)</t>
  </si>
  <si>
    <t xml:space="preserve">1800</t>
  </si>
  <si>
    <t xml:space="preserve">INR Cr</t>
  </si>
  <si>
    <t xml:space="preserve">Total construction outlay</t>
  </si>
  <si>
    <t xml:space="preserve">  Capex drawdown — Year 1</t>
  </si>
  <si>
    <t xml:space="preserve">0.30</t>
  </si>
  <si>
    <t xml:space="preserve">% of total</t>
  </si>
  <si>
    <t xml:space="preserve">Front-loaded mobilisation</t>
  </si>
  <si>
    <t xml:space="preserve">  Capex drawdown — Year 2</t>
  </si>
  <si>
    <t xml:space="preserve">0.40</t>
  </si>
  <si>
    <t xml:space="preserve">Peak construction</t>
  </si>
  <si>
    <t xml:space="preserve">  Capex drawdown — Year 3</t>
  </si>
  <si>
    <t xml:space="preserve">Completion &amp; commissioning</t>
  </si>
  <si>
    <t xml:space="preserve">3. Funding Structure</t>
  </si>
  <si>
    <t xml:space="preserve">Debt : total funding (gearing)</t>
  </si>
  <si>
    <t xml:space="preserve">0.71</t>
  </si>
  <si>
    <t xml:space="preserve">%</t>
  </si>
  <si>
    <t xml:space="preserve">Senior term debt share</t>
  </si>
  <si>
    <t xml:space="preserve">Equity : total funding</t>
  </si>
  <si>
    <t xml:space="preserve">Sponsor equity share</t>
  </si>
  <si>
    <t xml:space="preserve">Senior debt quantum</t>
  </si>
  <si>
    <t xml:space="preserve">capex x gearing</t>
  </si>
  <si>
    <t xml:space="preserve">Sponsor equity quantum</t>
  </si>
  <si>
    <t xml:space="preserve">capex x equity %</t>
  </si>
  <si>
    <t xml:space="preserve">4. Senior Debt Terms</t>
  </si>
  <si>
    <t xml:space="preserve">Interest rate (annual)</t>
  </si>
  <si>
    <t xml:space="preserve">0.095</t>
  </si>
  <si>
    <t xml:space="preserve">All-in senior coupon</t>
  </si>
  <si>
    <t xml:space="preserve">Amortisation tenor (from COD)</t>
  </si>
  <si>
    <t xml:space="preserve">12</t>
  </si>
  <si>
    <t xml:space="preserve">Equal-principal repayment</t>
  </si>
  <si>
    <t xml:space="preserve">Lender target DSCR (covenant)</t>
  </si>
  <si>
    <t xml:space="preserve">1.20</t>
  </si>
  <si>
    <t xml:space="preserve">x</t>
  </si>
  <si>
    <t xml:space="preserve">Minimum DSCR covenant</t>
  </si>
  <si>
    <t xml:space="preserve">5. Traffic &amp; Toll Revenue</t>
  </si>
  <si>
    <t xml:space="preserve">Year-1 toll revenue (at COD)</t>
  </si>
  <si>
    <t xml:space="preserve">304</t>
  </si>
  <si>
    <t xml:space="preserve">Base operating-year revenue</t>
  </si>
  <si>
    <t xml:space="preserve">Revenue growth p.a. (traffic + toll esc.)</t>
  </si>
  <si>
    <t xml:space="preserve">Blended traffic &amp; WPI escalation</t>
  </si>
  <si>
    <t xml:space="preserve">6. Operating Costs</t>
  </si>
  <si>
    <t xml:space="preserve">Routine O&amp;M (% of revenue)</t>
  </si>
  <si>
    <t xml:space="preserve">0.165</t>
  </si>
  <si>
    <t xml:space="preserve">Operations &amp; maintenance</t>
  </si>
  <si>
    <t xml:space="preserve">Major maintenance — Op Yr 5</t>
  </si>
  <si>
    <t xml:space="preserve">40</t>
  </si>
  <si>
    <t xml:space="preserve">Periodic overlay / resurfacing</t>
  </si>
  <si>
    <t xml:space="preserve">Major maintenance — Op Yr 10</t>
  </si>
  <si>
    <t xml:space="preserve">90</t>
  </si>
  <si>
    <t xml:space="preserve">Mid-life rehabilitation</t>
  </si>
  <si>
    <t xml:space="preserve">Major maintenance — Op Yr 15</t>
  </si>
  <si>
    <t xml:space="preserve">Late-life rehabilitation</t>
  </si>
  <si>
    <t xml:space="preserve">7. Depreciation, Tax &amp; Returns</t>
  </si>
  <si>
    <t xml:space="preserve">Asset life (SLM over op. period)</t>
  </si>
  <si>
    <t xml:space="preserve">Toll asset amortised over op life</t>
  </si>
  <si>
    <t xml:space="preserve">Corporate tax rate</t>
  </si>
  <si>
    <t xml:space="preserve">0.25</t>
  </si>
  <si>
    <t xml:space="preserve">Effective MAT-adjusted rate</t>
  </si>
  <si>
    <t xml:space="preserve">Equity discount rate (cost of equity)</t>
  </si>
  <si>
    <t xml:space="preserve">Hurdle for equity NPV</t>
  </si>
  <si>
    <t xml:space="preserve">Project discount rate (WACC ref.)</t>
  </si>
  <si>
    <t xml:space="preserve">0.110</t>
  </si>
  <si>
    <t xml:space="preserve">Reference for project NPV</t>
  </si>
  <si>
    <t xml:space="preserve">Illustrative figures for demonstration only — not investment advice. Inputs are indicative and calibrated for a portfolio sample model (MNB Research).</t>
  </si>
  <si>
    <t xml:space="preserve">Construction Programme &amp; Capital Expenditure</t>
  </si>
  <si>
    <t xml:space="preserve">Capex drawdown and funding split across the 3-year construction phase (INR Cr).</t>
  </si>
  <si>
    <t xml:space="preserve">Concession Year</t>
  </si>
  <si>
    <t xml:space="preserve">[INR Cr]</t>
  </si>
  <si>
    <t xml:space="preserve">Y1</t>
  </si>
  <si>
    <t xml:space="preserve">Y2</t>
  </si>
  <si>
    <t xml:space="preserve">Y3</t>
  </si>
  <si>
    <t xml:space="preserve">Y4</t>
  </si>
  <si>
    <t xml:space="preserve">Y5</t>
  </si>
  <si>
    <t xml:space="preserve">Y6</t>
  </si>
  <si>
    <t xml:space="preserve">Y7</t>
  </si>
  <si>
    <t xml:space="preserve">Y8</t>
  </si>
  <si>
    <t xml:space="preserve">Y9</t>
  </si>
  <si>
    <t xml:space="preserve">Y10</t>
  </si>
  <si>
    <t xml:space="preserve">Y11</t>
  </si>
  <si>
    <t xml:space="preserve">Y12</t>
  </si>
  <si>
    <t xml:space="preserve">Y13</t>
  </si>
  <si>
    <t xml:space="preserve">Y14</t>
  </si>
  <si>
    <t xml:space="preserve">Y15</t>
  </si>
  <si>
    <t xml:space="preserve">Y16</t>
  </si>
  <si>
    <t xml:space="preserve">Y17</t>
  </si>
  <si>
    <t xml:space="preserve">Y18</t>
  </si>
  <si>
    <t xml:space="preserve">Y19</t>
  </si>
  <si>
    <t xml:space="preserve">Y20</t>
  </si>
  <si>
    <t xml:space="preserve">Construction</t>
  </si>
  <si>
    <t xml:space="preserve">Operations</t>
  </si>
  <si>
    <t xml:space="preserve">CAPITAL EXPENDITURE</t>
  </si>
  <si>
    <t xml:space="preserve">Capex profile (% of total)</t>
  </si>
  <si>
    <t xml:space="preserve">Capex drawdown</t>
  </si>
  <si>
    <t xml:space="preserve">Cumulative capex</t>
  </si>
  <si>
    <t xml:space="preserve">FUNDING OF CAPEX</t>
  </si>
  <si>
    <t xml:space="preserve">Senior debt drawdown</t>
  </si>
  <si>
    <t xml:space="preserve">Sponsor equity drawdown</t>
  </si>
  <si>
    <t xml:space="preserve">Total funding</t>
  </si>
  <si>
    <t xml:space="preserve">Check: total capex vs assumption</t>
  </si>
  <si>
    <t xml:space="preserve">=</t>
  </si>
  <si>
    <t xml:space="preserve">Traffic &amp; Toll Revenue</t>
  </si>
  <si>
    <t xml:space="preserve">Toll revenue grows with blended traffic growth and WPI-linked toll escalation. Construction years carry no revenue.</t>
  </si>
  <si>
    <t xml:space="preserve">REVENUE BUILD</t>
  </si>
  <si>
    <t xml:space="preserve">Operating year index</t>
  </si>
  <si>
    <t xml:space="preserve">Annual growth factor</t>
  </si>
  <si>
    <t xml:space="preserve">Toll revenue</t>
  </si>
  <si>
    <t xml:space="preserve">  of which: traffic / escalation (memo)</t>
  </si>
  <si>
    <t xml:space="preserve">Operating Costs</t>
  </si>
  <si>
    <t xml:space="preserve">Routine O&amp;M as % of revenue plus periodic major maintenance (overlays / rehabilitation).</t>
  </si>
  <si>
    <t xml:space="preserve">OPERATING EXPENDITURE</t>
  </si>
  <si>
    <t xml:space="preserve">Routine O&amp;M</t>
  </si>
  <si>
    <t xml:space="preserve">Major maintenance</t>
  </si>
  <si>
    <t xml:space="preserve">Total operating costs</t>
  </si>
  <si>
    <t xml:space="preserve">Senior Debt Schedule</t>
  </si>
  <si>
    <t xml:space="preserve">Debt drawn during construction; equal-principal amortisation over the tenor from COD. Interest on opening balance.</t>
  </si>
  <si>
    <t xml:space="preserve">SENIOR DEBT (INR Cr)</t>
  </si>
  <si>
    <t xml:space="preserve">Opening balance</t>
  </si>
  <si>
    <t xml:space="preserve">Drawdowns</t>
  </si>
  <si>
    <t xml:space="preserve">Interest expense</t>
  </si>
  <si>
    <t xml:space="preserve">Principal repayment</t>
  </si>
  <si>
    <t xml:space="preserve">Closing balance</t>
  </si>
  <si>
    <t xml:space="preserve">Debt service (interest + principal)</t>
  </si>
  <si>
    <t xml:space="preserve">Check: total drawn vs debt quantum</t>
  </si>
  <si>
    <t xml:space="preserve">Profit &amp; Loss Statement</t>
  </si>
  <si>
    <t xml:space="preserve">Revenue less O&amp;M and maintenance gives EBITDA; less depreciation and interest gives PBT; tax and PAT follow.</t>
  </si>
  <si>
    <t xml:space="preserve">PROFIT &amp; LOSS (INR Cr)</t>
  </si>
  <si>
    <t xml:space="preserve">(-) Routine O&amp;M</t>
  </si>
  <si>
    <t xml:space="preserve">(-) Major maintenance</t>
  </si>
  <si>
    <t xml:space="preserve">EBITDA</t>
  </si>
  <si>
    <t xml:space="preserve">(-) Depreciation</t>
  </si>
  <si>
    <t xml:space="preserve">EBIT</t>
  </si>
  <si>
    <t xml:space="preserve">(-) Interest expense</t>
  </si>
  <si>
    <t xml:space="preserve">Profit before tax</t>
  </si>
  <si>
    <t xml:space="preserve">(-) Tax</t>
  </si>
  <si>
    <t xml:space="preserve">Profit after tax (PAT)</t>
  </si>
  <si>
    <t xml:space="preserve">Cash Flow Statement</t>
  </si>
  <si>
    <t xml:space="preserve">Project (unlevered) and equity (levered) cash flows, plus CFADS used for the DSCR and the net cash position.</t>
  </si>
  <si>
    <t xml:space="preserve">CASH FLOW AVAILABLE FOR DEBT SERVICE (CFADS)</t>
  </si>
  <si>
    <t xml:space="preserve">(-) Tax paid</t>
  </si>
  <si>
    <t xml:space="preserve">CFADS</t>
  </si>
  <si>
    <t xml:space="preserve">PROJECT (UNLEVERED) CASH FLOW</t>
  </si>
  <si>
    <t xml:space="preserve">(-) Capex</t>
  </si>
  <si>
    <t xml:space="preserve">Project free cash flow</t>
  </si>
  <si>
    <t xml:space="preserve">EQUITY (LEVERED) CASH FLOW</t>
  </si>
  <si>
    <t xml:space="preserve">(+) Debt drawdown</t>
  </si>
  <si>
    <t xml:space="preserve">(-) Interest</t>
  </si>
  <si>
    <t xml:space="preserve">(-) Principal repayment</t>
  </si>
  <si>
    <t xml:space="preserve">(-) Equity invested</t>
  </si>
  <si>
    <t xml:space="preserve">Equity free cash flow (FCFE)</t>
  </si>
  <si>
    <t xml:space="preserve">NET CASH POSITION</t>
  </si>
  <si>
    <t xml:space="preserve">Opening cash</t>
  </si>
  <si>
    <t xml:space="preserve">Net cash flow (project + financing)</t>
  </si>
  <si>
    <t xml:space="preserve">Closing cash</t>
  </si>
  <si>
    <t xml:space="preserve">Balance Sheet</t>
  </si>
  <si>
    <t xml:space="preserve">Net fixed assets plus cash on the asset side; senior debt, share capital and retained earnings on the funding side. Ties every year.</t>
  </si>
  <si>
    <t xml:space="preserve">ASSETS (INR Cr)</t>
  </si>
  <si>
    <t xml:space="preserve">Gross fixed assets</t>
  </si>
  <si>
    <t xml:space="preserve">(-) Accumulated depreciation</t>
  </si>
  <si>
    <t xml:space="preserve">Net fixed assets</t>
  </si>
  <si>
    <t xml:space="preserve">Cash &amp; bank balance</t>
  </si>
  <si>
    <t xml:space="preserve">TOTAL ASSETS</t>
  </si>
  <si>
    <t xml:space="preserve">LIABILITIES &amp; EQUITY (INR Cr)</t>
  </si>
  <si>
    <t xml:space="preserve">Senior debt</t>
  </si>
  <si>
    <t xml:space="preserve">Share capital (paid-in equity)</t>
  </si>
  <si>
    <t xml:space="preserve">Retained earnings</t>
  </si>
  <si>
    <t xml:space="preserve">TOTAL LIAB. &amp; EQUITY</t>
  </si>
  <si>
    <t xml:space="preserve">Balance check (A - L - E)</t>
  </si>
  <si>
    <t xml:space="preserve">Returns &amp; Debt Service Coverage</t>
  </si>
  <si>
    <t xml:space="preserve">Project &amp; equity IRR, equity NPV, and the year-by-year DSCR profile with minimum and average coverage.</t>
  </si>
  <si>
    <t xml:space="preserve">CASH FLOW VECTORS (INR Cr)</t>
  </si>
  <si>
    <t xml:space="preserve">Equity free cash flow</t>
  </si>
  <si>
    <t xml:space="preserve">DEBT SERVICE COVERAGE</t>
  </si>
  <si>
    <t xml:space="preserve">Debt service</t>
  </si>
  <si>
    <t xml:space="preserve">DSCR</t>
  </si>
  <si>
    <t xml:space="preserve">INR Cr / % / x</t>
  </si>
  <si>
    <t xml:space="preserve">Equity NPV (at cost of equity)</t>
  </si>
  <si>
    <t xml:space="preserve">Project NPV (at project disc. rate)</t>
  </si>
  <si>
    <t xml:space="preserve">Balance sheet check (max abs.)</t>
  </si>
  <si>
    <t xml:space="preserve">Illustrative figures for demonstration only. Calibrated portfolio sample — MNB Research.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</si>
</sst>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#,##0;\(#,##0\);\-"/>
    <numFmt numFmtId="167" formatCode="0.00\x"/>
    <numFmt numFmtId="168" formatCode="#,##0.0;\(#,##0.0\);\-"/>
    <numFmt numFmtId="169" formatCode="0"/>
    <numFmt numFmtId="170" formatCode="0.00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1F3864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26"/>
      <color rgb="FF2E5496"/>
      <name val="Arial"/>
      <family val="0"/>
      <charset val="1"/>
    </font>
    <font>
      <sz val="11"/>
      <color rgb="FF40404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008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8000"/>
      <name val="Arial"/>
      <family val="0"/>
      <charset val="1"/>
    </font>
    <font>
      <i val="true"/>
      <sz val="8"/>
      <color rgb="FFC00000"/>
      <name val="Arial"/>
      <family val="0"/>
      <charset val="1"/>
    </font>
    <font>
      <b val="true"/>
      <sz val="13"/>
      <color rgb="FF1F3864"/>
      <name val="Arial"/>
      <family val="0"/>
      <charset val="1"/>
    </font>
    <font>
      <i val="true"/>
      <sz val="9"/>
      <color rgb="FF80808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2"/>
      <color rgb="FF00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404040"/>
      </patternFill>
    </fill>
    <fill>
      <patternFill patternType="solid">
        <fgColor rgb="FFD9E1F2"/>
        <bgColor rgb="FFCCFFFF"/>
      </patternFill>
    </fill>
    <fill>
      <patternFill patternType="solid">
        <fgColor rgb="FF2E5496"/>
        <bgColor rgb="FF1F3864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80808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false" indent="1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2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1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2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1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2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general" vertical="bottom" textRotation="0" wrapText="true" indent="1" shrinkToFit="false"/>
      <protection locked="true" hidden="false"/>
    </xf>
    <xf numFmtId="164" fontId="2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6" fontId="2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8" min="2" style="1" width="14"/>
  </cols>
  <sheetData>
    <row r="2" customFormat="false" ht="15" hidden="false" customHeight="true" outlineLevel="0" collapsed="false">
      <c r="B2" s="2" t="s">
        <v>0</v>
      </c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B3" s="2"/>
      <c r="C3" s="2"/>
      <c r="D3" s="2"/>
      <c r="E3" s="2"/>
      <c r="F3" s="2"/>
      <c r="G3" s="2"/>
      <c r="H3" s="2"/>
    </row>
    <row r="4" customFormat="false" ht="15" hidden="false" customHeight="true" outlineLevel="0" collapsed="false">
      <c r="B4" s="3" t="s">
        <v>1</v>
      </c>
      <c r="C4" s="3"/>
      <c r="D4" s="3"/>
      <c r="E4" s="3"/>
      <c r="F4" s="3"/>
      <c r="G4" s="3"/>
      <c r="H4" s="3"/>
    </row>
    <row r="6" customFormat="false" ht="30" hidden="false" customHeight="true" outlineLevel="0" collapsed="false">
      <c r="B6" s="4" t="s">
        <v>2</v>
      </c>
      <c r="C6" s="4"/>
      <c r="D6" s="4"/>
      <c r="E6" s="4"/>
      <c r="F6" s="4"/>
      <c r="G6" s="4"/>
      <c r="H6" s="4"/>
    </row>
    <row r="7" customFormat="false" ht="30" hidden="false" customHeight="true" outlineLevel="0" collapsed="false">
      <c r="B7" s="4"/>
      <c r="C7" s="4"/>
      <c r="D7" s="4"/>
      <c r="E7" s="4"/>
      <c r="F7" s="4"/>
      <c r="G7" s="4"/>
      <c r="H7" s="4"/>
    </row>
    <row r="8" customFormat="false" ht="15" hidden="false" customHeight="true" outlineLevel="0" collapsed="false">
      <c r="B8" s="4"/>
      <c r="C8" s="4"/>
      <c r="D8" s="4"/>
      <c r="E8" s="4"/>
      <c r="F8" s="4"/>
      <c r="G8" s="4"/>
      <c r="H8" s="4"/>
    </row>
    <row r="9" customFormat="false" ht="15" hidden="false" customHeight="true" outlineLevel="0" collapsed="false">
      <c r="B9" s="5" t="s">
        <v>3</v>
      </c>
      <c r="C9" s="5"/>
      <c r="D9" s="5"/>
      <c r="E9" s="5"/>
      <c r="F9" s="5"/>
      <c r="G9" s="5"/>
      <c r="H9" s="5"/>
    </row>
    <row r="11" customFormat="false" ht="19.5" hidden="false" customHeight="true" outlineLevel="0" collapsed="false">
      <c r="B11" s="6" t="s">
        <v>4</v>
      </c>
      <c r="C11" s="6"/>
      <c r="D11" s="6"/>
      <c r="E11" s="6"/>
      <c r="F11" s="6"/>
      <c r="G11" s="6"/>
      <c r="H11" s="6"/>
    </row>
    <row r="12" customFormat="false" ht="15.75" hidden="false" customHeight="true" outlineLevel="0" collapsed="false">
      <c r="B12" s="7" t="s">
        <v>5</v>
      </c>
      <c r="C12" s="7"/>
      <c r="D12" s="7"/>
      <c r="E12" s="7"/>
      <c r="F12" s="8" t="n">
        <f aca="false">'Returns &amp; DSCR'!C18</f>
        <v>0.130090705597004</v>
      </c>
      <c r="G12" s="8"/>
      <c r="H12" s="8"/>
    </row>
    <row r="13" customFormat="false" ht="15.75" hidden="false" customHeight="true" outlineLevel="0" collapsed="false">
      <c r="B13" s="7" t="s">
        <v>6</v>
      </c>
      <c r="C13" s="7"/>
      <c r="D13" s="7"/>
      <c r="E13" s="7"/>
      <c r="F13" s="8" t="n">
        <f aca="false">'Returns &amp; DSCR'!C19</f>
        <v>0.179386661631662</v>
      </c>
      <c r="G13" s="8"/>
      <c r="H13" s="8"/>
    </row>
    <row r="14" customFormat="false" ht="15.75" hidden="false" customHeight="true" outlineLevel="0" collapsed="false">
      <c r="B14" s="7" t="s">
        <v>7</v>
      </c>
      <c r="C14" s="7"/>
      <c r="D14" s="7"/>
      <c r="E14" s="7"/>
      <c r="F14" s="9" t="n">
        <f aca="false">'Returns &amp; DSCR'!C20</f>
        <v>122.47724232226</v>
      </c>
      <c r="G14" s="9"/>
      <c r="H14" s="9"/>
    </row>
    <row r="15" customFormat="false" ht="15.75" hidden="false" customHeight="true" outlineLevel="0" collapsed="false">
      <c r="B15" s="7" t="s">
        <v>8</v>
      </c>
      <c r="C15" s="7"/>
      <c r="D15" s="7"/>
      <c r="E15" s="7"/>
      <c r="F15" s="10" t="n">
        <f aca="false">'Returns &amp; DSCR'!C22</f>
        <v>1.87863546063084</v>
      </c>
      <c r="G15" s="10"/>
      <c r="H15" s="10"/>
    </row>
    <row r="16" customFormat="false" ht="15.75" hidden="false" customHeight="true" outlineLevel="0" collapsed="false">
      <c r="B16" s="7" t="s">
        <v>9</v>
      </c>
      <c r="C16" s="7"/>
      <c r="D16" s="7"/>
      <c r="E16" s="7"/>
      <c r="F16" s="10" t="n">
        <f aca="false">'Returns &amp; DSCR'!C23</f>
        <v>1.08465222340088</v>
      </c>
      <c r="G16" s="10"/>
      <c r="H16" s="10"/>
    </row>
    <row r="17" customFormat="false" ht="15.75" hidden="false" customHeight="true" outlineLevel="0" collapsed="false">
      <c r="B17" s="7" t="s">
        <v>10</v>
      </c>
      <c r="C17" s="7"/>
      <c r="D17" s="7"/>
      <c r="E17" s="7"/>
      <c r="F17" s="11" t="n">
        <f aca="false">'Returns &amp; DSCR'!C24</f>
        <v>-0</v>
      </c>
      <c r="G17" s="11"/>
      <c r="H17" s="11"/>
    </row>
    <row r="19" customFormat="false" ht="15" hidden="false" customHeight="true" outlineLevel="0" collapsed="false">
      <c r="B19" s="12" t="s">
        <v>11</v>
      </c>
      <c r="C19" s="12"/>
      <c r="D19" s="12"/>
      <c r="E19" s="12"/>
      <c r="F19" s="12"/>
      <c r="G19" s="12"/>
      <c r="H19" s="12"/>
    </row>
    <row r="20" customFormat="false" ht="15" hidden="false" customHeight="true" outlineLevel="0" collapsed="false">
      <c r="B20" s="13" t="s">
        <v>12</v>
      </c>
      <c r="D20" s="14" t="s">
        <v>13</v>
      </c>
      <c r="E20" s="14"/>
      <c r="F20" s="14"/>
      <c r="G20" s="14"/>
      <c r="H20" s="14"/>
    </row>
    <row r="21" customFormat="false" ht="15" hidden="false" customHeight="true" outlineLevel="0" collapsed="false">
      <c r="B21" s="13" t="s">
        <v>14</v>
      </c>
      <c r="D21" s="14" t="s">
        <v>15</v>
      </c>
      <c r="E21" s="14"/>
      <c r="F21" s="14"/>
      <c r="G21" s="14"/>
      <c r="H21" s="14"/>
    </row>
    <row r="22" customFormat="false" ht="15" hidden="false" customHeight="true" outlineLevel="0" collapsed="false">
      <c r="B22" s="13" t="s">
        <v>16</v>
      </c>
      <c r="D22" s="14" t="s">
        <v>17</v>
      </c>
      <c r="E22" s="14"/>
      <c r="F22" s="14"/>
      <c r="G22" s="14"/>
      <c r="H22" s="14"/>
    </row>
    <row r="23" customFormat="false" ht="15" hidden="false" customHeight="true" outlineLevel="0" collapsed="false">
      <c r="B23" s="13" t="s">
        <v>18</v>
      </c>
      <c r="D23" s="14" t="s">
        <v>19</v>
      </c>
      <c r="E23" s="14"/>
      <c r="F23" s="14"/>
      <c r="G23" s="14"/>
      <c r="H23" s="14"/>
    </row>
    <row r="24" customFormat="false" ht="15" hidden="false" customHeight="true" outlineLevel="0" collapsed="false">
      <c r="B24" s="13" t="s">
        <v>20</v>
      </c>
      <c r="D24" s="14" t="s">
        <v>21</v>
      </c>
      <c r="E24" s="14"/>
      <c r="F24" s="14"/>
      <c r="G24" s="14"/>
      <c r="H24" s="14"/>
    </row>
    <row r="25" customFormat="false" ht="15" hidden="false" customHeight="true" outlineLevel="0" collapsed="false">
      <c r="B25" s="13" t="s">
        <v>22</v>
      </c>
      <c r="D25" s="14" t="s">
        <v>23</v>
      </c>
      <c r="E25" s="14"/>
      <c r="F25" s="14"/>
      <c r="G25" s="14"/>
      <c r="H25" s="14"/>
    </row>
    <row r="26" customFormat="false" ht="15" hidden="false" customHeight="true" outlineLevel="0" collapsed="false">
      <c r="B26" s="13" t="s">
        <v>24</v>
      </c>
      <c r="D26" s="14" t="s">
        <v>25</v>
      </c>
      <c r="E26" s="14"/>
      <c r="F26" s="14"/>
      <c r="G26" s="14"/>
      <c r="H26" s="14"/>
    </row>
    <row r="27" customFormat="false" ht="15" hidden="false" customHeight="true" outlineLevel="0" collapsed="false">
      <c r="B27" s="13" t="s">
        <v>26</v>
      </c>
      <c r="D27" s="14" t="s">
        <v>27</v>
      </c>
      <c r="E27" s="14"/>
      <c r="F27" s="14"/>
      <c r="G27" s="14"/>
      <c r="H27" s="14"/>
    </row>
    <row r="28" customFormat="false" ht="15" hidden="false" customHeight="true" outlineLevel="0" collapsed="false">
      <c r="B28" s="13" t="s">
        <v>28</v>
      </c>
      <c r="D28" s="14" t="s">
        <v>29</v>
      </c>
      <c r="E28" s="14"/>
      <c r="F28" s="14"/>
      <c r="G28" s="14"/>
      <c r="H28" s="14"/>
    </row>
    <row r="30" customFormat="false" ht="15" hidden="false" customHeight="true" outlineLevel="0" collapsed="false">
      <c r="B30" s="15" t="s">
        <v>30</v>
      </c>
      <c r="C30" s="16" t="s">
        <v>31</v>
      </c>
      <c r="D30" s="17" t="s">
        <v>32</v>
      </c>
      <c r="E30" s="18" t="s">
        <v>33</v>
      </c>
    </row>
    <row r="32" customFormat="false" ht="13.5" hidden="false" customHeight="true" outlineLevel="0" collapsed="false">
      <c r="B32" s="19" t="s">
        <v>34</v>
      </c>
      <c r="C32" s="19"/>
      <c r="D32" s="19"/>
      <c r="E32" s="19"/>
      <c r="F32" s="19"/>
      <c r="G32" s="19"/>
      <c r="H32" s="19"/>
    </row>
    <row r="33" customFormat="false" ht="15" hidden="false" customHeight="true" outlineLevel="0" collapsed="false">
      <c r="B33" s="19"/>
      <c r="C33" s="19"/>
      <c r="D33" s="19"/>
      <c r="E33" s="19"/>
      <c r="F33" s="19"/>
      <c r="G33" s="19"/>
      <c r="H33" s="19"/>
    </row>
  </sheetData>
  <mergeCells count="28">
    <mergeCell ref="B2:H3"/>
    <mergeCell ref="B4:H4"/>
    <mergeCell ref="B6:H8"/>
    <mergeCell ref="B9:H9"/>
    <mergeCell ref="B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B32:H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218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219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220</v>
      </c>
    </row>
    <row r="9" customFormat="false" ht="15" hidden="false" customHeight="true" outlineLevel="0" collapsed="false">
      <c r="A9" s="36" t="s">
        <v>193</v>
      </c>
      <c r="C9" s="39" t="n">
        <f aca="false">'Cash Flow'!C14</f>
        <v>-540</v>
      </c>
      <c r="D9" s="39" t="n">
        <f aca="false">'Cash Flow'!D14</f>
        <v>-720</v>
      </c>
      <c r="E9" s="39" t="n">
        <f aca="false">'Cash Flow'!E14</f>
        <v>-540</v>
      </c>
      <c r="F9" s="39" t="n">
        <f aca="false">'Cash Flow'!F14</f>
        <v>247.203088235294</v>
      </c>
      <c r="G9" s="39" t="n">
        <f aca="false">'Cash Flow'!G14</f>
        <v>255.963247235294</v>
      </c>
      <c r="H9" s="39" t="n">
        <f aca="false">'Cash Flow'!H14</f>
        <v>265.392875601494</v>
      </c>
      <c r="I9" s="39" t="n">
        <f aca="false">'Cash Flow'!I14</f>
        <v>275.53167286731</v>
      </c>
      <c r="J9" s="39" t="n">
        <f aca="false">'Cash Flow'!J14</f>
        <v>256.421692748488</v>
      </c>
      <c r="K9" s="39" t="n">
        <f aca="false">'Cash Flow'!K14</f>
        <v>298.107482746121</v>
      </c>
      <c r="L9" s="39" t="n">
        <f aca="false">'Cash Flow'!L14</f>
        <v>310.636232028113</v>
      </c>
      <c r="M9" s="39" t="n">
        <f aca="false">'Cash Flow'!M14</f>
        <v>324.057928080027</v>
      </c>
      <c r="N9" s="39" t="n">
        <f aca="false">'Cash Flow'!N14</f>
        <v>338.425522645319</v>
      </c>
      <c r="O9" s="39" t="n">
        <f aca="false">'Cash Flow'!O14</f>
        <v>286.295107505834</v>
      </c>
      <c r="P9" s="39" t="n">
        <f aca="false">'Cash Flow'!P14</f>
        <v>370.226100686077</v>
      </c>
      <c r="Q9" s="39" t="n">
        <f aca="false">'Cash Flow'!Q14</f>
        <v>387.781443699408</v>
      </c>
      <c r="R9" s="39" t="n">
        <f aca="false">'Cash Flow'!R14</f>
        <v>406.52781049093</v>
      </c>
      <c r="S9" s="39" t="n">
        <f aca="false">'Cash Flow'!S14</f>
        <v>429.065203770689</v>
      </c>
      <c r="T9" s="39" t="n">
        <f aca="false">'Cash Flow'!T14</f>
        <v>385.439064471938</v>
      </c>
      <c r="U9" s="39" t="n">
        <f aca="false">'Cash Flow'!U14</f>
        <v>478.228645112771</v>
      </c>
      <c r="V9" s="39" t="n">
        <f aca="false">'Cash Flow'!V14</f>
        <v>505.017897885605</v>
      </c>
    </row>
    <row r="10" customFormat="false" ht="15" hidden="false" customHeight="true" outlineLevel="0" collapsed="false">
      <c r="A10" s="36" t="s">
        <v>221</v>
      </c>
      <c r="C10" s="39" t="n">
        <f aca="false">'Cash Flow'!C20</f>
        <v>-156.6</v>
      </c>
      <c r="D10" s="39" t="n">
        <f aca="false">'Cash Flow'!D20</f>
        <v>-208.8</v>
      </c>
      <c r="E10" s="39" t="n">
        <f aca="false">'Cash Flow'!E20</f>
        <v>-156.6</v>
      </c>
      <c r="F10" s="39" t="n">
        <f aca="false">'Cash Flow'!F20</f>
        <v>19.2930882352941</v>
      </c>
      <c r="G10" s="39" t="n">
        <f aca="false">'Cash Flow'!G20</f>
        <v>38.1707472352941</v>
      </c>
      <c r="H10" s="39" t="n">
        <f aca="false">'Cash Flow'!H20</f>
        <v>57.7178756014941</v>
      </c>
      <c r="I10" s="39" t="n">
        <f aca="false">'Cash Flow'!I20</f>
        <v>77.9741728673097</v>
      </c>
      <c r="J10" s="39" t="n">
        <f aca="false">'Cash Flow'!J20</f>
        <v>68.9816927484882</v>
      </c>
      <c r="K10" s="39" t="n">
        <f aca="false">'Cash Flow'!K20</f>
        <v>120.784982746121</v>
      </c>
      <c r="L10" s="39" t="n">
        <f aca="false">'Cash Flow'!L20</f>
        <v>143.431232028113</v>
      </c>
      <c r="M10" s="39" t="n">
        <f aca="false">'Cash Flow'!M20</f>
        <v>166.970428080027</v>
      </c>
      <c r="N10" s="39" t="n">
        <f aca="false">'Cash Flow'!N20</f>
        <v>191.455522645319</v>
      </c>
      <c r="O10" s="39" t="n">
        <f aca="false">'Cash Flow'!O20</f>
        <v>149.442607505834</v>
      </c>
      <c r="P10" s="39" t="n">
        <f aca="false">'Cash Flow'!P20</f>
        <v>243.491100686077</v>
      </c>
      <c r="Q10" s="39" t="n">
        <f aca="false">'Cash Flow'!Q20</f>
        <v>271.163943699408</v>
      </c>
      <c r="R10" s="39" t="n">
        <f aca="false">'Cash Flow'!R20</f>
        <v>406.52781049093</v>
      </c>
      <c r="S10" s="39" t="n">
        <f aca="false">'Cash Flow'!S20</f>
        <v>429.065203770689</v>
      </c>
      <c r="T10" s="39" t="n">
        <f aca="false">'Cash Flow'!T20</f>
        <v>385.439064471938</v>
      </c>
      <c r="U10" s="39" t="n">
        <f aca="false">'Cash Flow'!U20</f>
        <v>478.228645112771</v>
      </c>
      <c r="V10" s="39" t="n">
        <f aca="false">'Cash Flow'!V20</f>
        <v>505.017897885605</v>
      </c>
    </row>
    <row r="11" customFormat="false" ht="15" hidden="false" customHeight="true" outlineLevel="0" collapsed="false">
      <c r="A11" s="13" t="s">
        <v>222</v>
      </c>
    </row>
    <row r="12" customFormat="false" ht="15" hidden="false" customHeight="true" outlineLevel="0" collapsed="false">
      <c r="A12" s="36" t="s">
        <v>190</v>
      </c>
      <c r="C12" s="39" t="n">
        <f aca="false">'Cash Flow'!C11</f>
        <v>0</v>
      </c>
      <c r="D12" s="39" t="n">
        <f aca="false">'Cash Flow'!D11</f>
        <v>0</v>
      </c>
      <c r="E12" s="39" t="n">
        <f aca="false">'Cash Flow'!E11</f>
        <v>0</v>
      </c>
      <c r="F12" s="39" t="n">
        <f aca="false">'Cash Flow'!F11</f>
        <v>247.203088235294</v>
      </c>
      <c r="G12" s="39" t="n">
        <f aca="false">'Cash Flow'!G11</f>
        <v>255.963247235294</v>
      </c>
      <c r="H12" s="39" t="n">
        <f aca="false">'Cash Flow'!H11</f>
        <v>265.392875601494</v>
      </c>
      <c r="I12" s="39" t="n">
        <f aca="false">'Cash Flow'!I11</f>
        <v>275.53167286731</v>
      </c>
      <c r="J12" s="39" t="n">
        <f aca="false">'Cash Flow'!J11</f>
        <v>256.421692748488</v>
      </c>
      <c r="K12" s="39" t="n">
        <f aca="false">'Cash Flow'!K11</f>
        <v>298.107482746121</v>
      </c>
      <c r="L12" s="39" t="n">
        <f aca="false">'Cash Flow'!L11</f>
        <v>310.636232028113</v>
      </c>
      <c r="M12" s="39" t="n">
        <f aca="false">'Cash Flow'!M11</f>
        <v>324.057928080027</v>
      </c>
      <c r="N12" s="39" t="n">
        <f aca="false">'Cash Flow'!N11</f>
        <v>338.425522645319</v>
      </c>
      <c r="O12" s="39" t="n">
        <f aca="false">'Cash Flow'!O11</f>
        <v>286.295107505834</v>
      </c>
      <c r="P12" s="39" t="n">
        <f aca="false">'Cash Flow'!P11</f>
        <v>370.226100686077</v>
      </c>
      <c r="Q12" s="39" t="n">
        <f aca="false">'Cash Flow'!Q11</f>
        <v>387.781443699408</v>
      </c>
      <c r="R12" s="39" t="n">
        <f aca="false">'Cash Flow'!R11</f>
        <v>406.52781049093</v>
      </c>
      <c r="S12" s="39" t="n">
        <f aca="false">'Cash Flow'!S11</f>
        <v>429.065203770689</v>
      </c>
      <c r="T12" s="39" t="n">
        <f aca="false">'Cash Flow'!T11</f>
        <v>385.439064471938</v>
      </c>
      <c r="U12" s="39" t="n">
        <f aca="false">'Cash Flow'!U11</f>
        <v>478.228645112771</v>
      </c>
      <c r="V12" s="39" t="n">
        <f aca="false">'Cash Flow'!V11</f>
        <v>505.017897885605</v>
      </c>
    </row>
    <row r="13" customFormat="false" ht="15" hidden="false" customHeight="true" outlineLevel="0" collapsed="false">
      <c r="A13" s="36" t="s">
        <v>223</v>
      </c>
      <c r="C13" s="39" t="n">
        <f aca="false">'Debt Schedule'!C15</f>
        <v>0</v>
      </c>
      <c r="D13" s="39" t="n">
        <f aca="false">'Debt Schedule'!D15</f>
        <v>0</v>
      </c>
      <c r="E13" s="39" t="n">
        <f aca="false">'Debt Schedule'!E15</f>
        <v>0</v>
      </c>
      <c r="F13" s="39" t="n">
        <f aca="false">'Debt Schedule'!F15</f>
        <v>227.91</v>
      </c>
      <c r="G13" s="39" t="n">
        <f aca="false">'Debt Schedule'!G15</f>
        <v>217.7925</v>
      </c>
      <c r="H13" s="39" t="n">
        <f aca="false">'Debt Schedule'!H15</f>
        <v>207.675</v>
      </c>
      <c r="I13" s="39" t="n">
        <f aca="false">'Debt Schedule'!I15</f>
        <v>197.5575</v>
      </c>
      <c r="J13" s="39" t="n">
        <f aca="false">'Debt Schedule'!J15</f>
        <v>187.44</v>
      </c>
      <c r="K13" s="39" t="n">
        <f aca="false">'Debt Schedule'!K15</f>
        <v>177.3225</v>
      </c>
      <c r="L13" s="39" t="n">
        <f aca="false">'Debt Schedule'!L15</f>
        <v>167.205</v>
      </c>
      <c r="M13" s="39" t="n">
        <f aca="false">'Debt Schedule'!M15</f>
        <v>157.0875</v>
      </c>
      <c r="N13" s="39" t="n">
        <f aca="false">'Debt Schedule'!N15</f>
        <v>146.97</v>
      </c>
      <c r="O13" s="39" t="n">
        <f aca="false">'Debt Schedule'!O15</f>
        <v>136.8525</v>
      </c>
      <c r="P13" s="39" t="n">
        <f aca="false">'Debt Schedule'!P15</f>
        <v>126.735</v>
      </c>
      <c r="Q13" s="39" t="n">
        <f aca="false">'Debt Schedule'!Q15</f>
        <v>116.6175</v>
      </c>
      <c r="R13" s="39" t="n">
        <f aca="false">'Debt Schedule'!R15</f>
        <v>0</v>
      </c>
      <c r="S13" s="39" t="n">
        <f aca="false">'Debt Schedule'!S15</f>
        <v>0</v>
      </c>
      <c r="T13" s="39" t="n">
        <f aca="false">'Debt Schedule'!T15</f>
        <v>0</v>
      </c>
      <c r="U13" s="39" t="n">
        <f aca="false">'Debt Schedule'!U15</f>
        <v>0</v>
      </c>
      <c r="V13" s="39" t="n">
        <f aca="false">'Debt Schedule'!V15</f>
        <v>0</v>
      </c>
    </row>
    <row r="14" customFormat="false" ht="15" hidden="false" customHeight="true" outlineLevel="0" collapsed="false">
      <c r="A14" s="41" t="s">
        <v>224</v>
      </c>
      <c r="C14" s="47" t="str">
        <f aca="false">IF(AND(C13&gt;0.01,C12&gt;0.01),C12/C13,"")</f>
        <v/>
      </c>
      <c r="D14" s="47" t="str">
        <f aca="false">IF(AND(D13&gt;0.01,D12&gt;0.01),D12/D13,"")</f>
        <v/>
      </c>
      <c r="E14" s="47" t="str">
        <f aca="false">IF(AND(E13&gt;0.01,E12&gt;0.01),E12/E13,"")</f>
        <v/>
      </c>
      <c r="F14" s="47" t="n">
        <f aca="false">IF(AND(F13&gt;0.01,F12&gt;0.01),F12/F13,"")</f>
        <v>1.08465222340088</v>
      </c>
      <c r="G14" s="47" t="n">
        <f aca="false">IF(AND(G13&gt;0.01,G12&gt;0.01),G12/G13,"")</f>
        <v>1.17526199127745</v>
      </c>
      <c r="H14" s="47" t="n">
        <f aca="false">IF(AND(H13&gt;0.01,H12&gt;0.01),H12/H13,"")</f>
        <v>1.27792404286262</v>
      </c>
      <c r="I14" s="47" t="n">
        <f aca="false">IF(AND(I13&gt;0.01,I12&gt;0.01),I12/I13,"")</f>
        <v>1.39469102852238</v>
      </c>
      <c r="J14" s="47" t="n">
        <f aca="false">IF(AND(J13&gt;0.01,J12&gt;0.01),J12/J13,"")</f>
        <v>1.36802012776616</v>
      </c>
      <c r="K14" s="47" t="n">
        <f aca="false">IF(AND(K13&gt;0.01,K12&gt;0.01),K12/K13,"")</f>
        <v>1.68115993597045</v>
      </c>
      <c r="L14" s="47" t="n">
        <f aca="false">IF(AND(L13&gt;0.01,L12&gt;0.01),L12/L13,"")</f>
        <v>1.85781664440724</v>
      </c>
      <c r="M14" s="47" t="n">
        <f aca="false">IF(AND(M13&gt;0.01,M12&gt;0.01),M12/M13,"")</f>
        <v>2.06291352322767</v>
      </c>
      <c r="N14" s="47" t="n">
        <f aca="false">IF(AND(N13&gt;0.01,N12&gt;0.01),N12/N13,"")</f>
        <v>2.30268437535088</v>
      </c>
      <c r="O14" s="47" t="n">
        <f aca="false">IF(AND(O13&gt;0.01,O12&gt;0.01),O12/O13,"")</f>
        <v>2.09199764349087</v>
      </c>
      <c r="P14" s="47" t="n">
        <f aca="false">IF(AND(P13&gt;0.01,P12&gt;0.01),P12/P13,"")</f>
        <v>2.92126169318718</v>
      </c>
      <c r="Q14" s="47" t="n">
        <f aca="false">IF(AND(Q13&gt;0.01,Q12&gt;0.01),Q12/Q13,"")</f>
        <v>3.32524229810627</v>
      </c>
      <c r="R14" s="47" t="str">
        <f aca="false">IF(AND(R13&gt;0.01,R12&gt;0.01),R12/R13,"")</f>
        <v/>
      </c>
      <c r="S14" s="47" t="str">
        <f aca="false">IF(AND(S13&gt;0.01,S12&gt;0.01),S12/S13,"")</f>
        <v/>
      </c>
      <c r="T14" s="47" t="str">
        <f aca="false">IF(AND(T13&gt;0.01,T12&gt;0.01),T12/T13,"")</f>
        <v/>
      </c>
      <c r="U14" s="47" t="str">
        <f aca="false">IF(AND(U13&gt;0.01,U12&gt;0.01),U12/U13,"")</f>
        <v/>
      </c>
      <c r="V14" s="47" t="str">
        <f aca="false">IF(AND(V13&gt;0.01,V12&gt;0.01),V12/V13,"")</f>
        <v/>
      </c>
    </row>
    <row r="17" customFormat="false" ht="19.5" hidden="false" customHeight="true" outlineLevel="0" collapsed="false">
      <c r="A17" s="6" t="s">
        <v>4</v>
      </c>
      <c r="B17" s="6"/>
      <c r="C17" s="6"/>
      <c r="D17" s="6"/>
      <c r="E17" s="6"/>
      <c r="F17" s="6"/>
    </row>
    <row r="18" customFormat="false" ht="15" hidden="false" customHeight="true" outlineLevel="0" collapsed="false">
      <c r="A18" s="13" t="s">
        <v>5</v>
      </c>
      <c r="C18" s="48" t="n">
        <f aca="false">IRR(C9:V9)</f>
        <v>0.130090705597004</v>
      </c>
      <c r="D18" s="27" t="s">
        <v>225</v>
      </c>
    </row>
    <row r="19" customFormat="false" ht="15" hidden="false" customHeight="true" outlineLevel="0" collapsed="false">
      <c r="A19" s="13" t="s">
        <v>6</v>
      </c>
      <c r="C19" s="48" t="n">
        <f aca="false">IRR(C10:V10)</f>
        <v>0.179386661631662</v>
      </c>
    </row>
    <row r="20" customFormat="false" ht="15" hidden="false" customHeight="true" outlineLevel="0" collapsed="false">
      <c r="A20" s="13" t="s">
        <v>226</v>
      </c>
      <c r="C20" s="49" t="n">
        <f aca="false">NPV(Assumptions!$C$36,D10:V10)+C10</f>
        <v>122.47724232226</v>
      </c>
    </row>
    <row r="21" customFormat="false" ht="15" hidden="false" customHeight="true" outlineLevel="0" collapsed="false">
      <c r="A21" s="13" t="s">
        <v>227</v>
      </c>
      <c r="C21" s="49" t="n">
        <f aca="false">NPV(Assumptions!$C$37,D9:V9)+C9</f>
        <v>263.940883892792</v>
      </c>
    </row>
    <row r="22" customFormat="false" ht="15" hidden="false" customHeight="true" outlineLevel="0" collapsed="false">
      <c r="A22" s="13" t="s">
        <v>8</v>
      </c>
      <c r="C22" s="50" t="n">
        <f aca="false">AVERAGE(C14:V14)</f>
        <v>1.87863546063084</v>
      </c>
    </row>
    <row r="23" customFormat="false" ht="15" hidden="false" customHeight="true" outlineLevel="0" collapsed="false">
      <c r="A23" s="13" t="s">
        <v>9</v>
      </c>
      <c r="C23" s="50" t="n">
        <f aca="false">MIN(C14:V14)</f>
        <v>1.08465222340088</v>
      </c>
    </row>
    <row r="24" customFormat="false" ht="15" hidden="false" customHeight="true" outlineLevel="0" collapsed="false">
      <c r="A24" s="13" t="s">
        <v>228</v>
      </c>
      <c r="C24" s="51" t="n">
        <f aca="false">MAX(MAX('Balance Sheet'!C20:V20),-MIN('Balance Sheet'!C20:V20))</f>
        <v>-0</v>
      </c>
    </row>
    <row r="26" customFormat="false" ht="15" hidden="false" customHeight="true" outlineLevel="0" collapsed="false">
      <c r="A26" s="52" t="s">
        <v>229</v>
      </c>
    </row>
  </sheetData>
  <mergeCells count="4">
    <mergeCell ref="A1:V1"/>
    <mergeCell ref="A2:V2"/>
    <mergeCell ref="A3:V3"/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2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5" min="5" style="1" width="50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37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8" hidden="false" customHeight="true" outlineLevel="0" collapsed="false">
      <c r="B6" s="12" t="s">
        <v>38</v>
      </c>
      <c r="C6" s="12"/>
      <c r="D6" s="12"/>
      <c r="E6" s="12"/>
    </row>
    <row r="7" customFormat="false" ht="15" hidden="false" customHeight="true" outlineLevel="0" collapsed="false">
      <c r="B7" s="24" t="s">
        <v>39</v>
      </c>
      <c r="C7" s="25" t="n">
        <v>3</v>
      </c>
      <c r="D7" s="26" t="s">
        <v>40</v>
      </c>
      <c r="E7" s="27" t="s">
        <v>41</v>
      </c>
    </row>
    <row r="8" customFormat="false" ht="15" hidden="false" customHeight="true" outlineLevel="0" collapsed="false">
      <c r="B8" s="24" t="s">
        <v>42</v>
      </c>
      <c r="C8" s="25" t="n">
        <v>17</v>
      </c>
      <c r="D8" s="26" t="s">
        <v>40</v>
      </c>
      <c r="E8" s="27" t="s">
        <v>43</v>
      </c>
    </row>
    <row r="9" customFormat="false" ht="15" hidden="false" customHeight="true" outlineLevel="0" collapsed="false">
      <c r="B9" s="24" t="s">
        <v>44</v>
      </c>
      <c r="C9" s="28" t="n">
        <f aca="false">Assumptions!C7+Assumptions!C8</f>
        <v>20</v>
      </c>
      <c r="D9" s="26" t="s">
        <v>40</v>
      </c>
      <c r="E9" s="27" t="s">
        <v>45</v>
      </c>
    </row>
    <row r="10" customFormat="false" ht="15" hidden="false" customHeight="true" outlineLevel="0" collapsed="false">
      <c r="B10" s="24" t="s">
        <v>46</v>
      </c>
      <c r="C10" s="29" t="s">
        <v>47</v>
      </c>
      <c r="D10" s="26"/>
      <c r="E10" s="27" t="s">
        <v>48</v>
      </c>
    </row>
    <row r="11" customFormat="false" ht="18" hidden="false" customHeight="true" outlineLevel="0" collapsed="false">
      <c r="B11" s="12" t="s">
        <v>49</v>
      </c>
      <c r="C11" s="12"/>
      <c r="D11" s="12"/>
      <c r="E11" s="12"/>
    </row>
    <row r="12" customFormat="false" ht="15" hidden="false" customHeight="true" outlineLevel="0" collapsed="false">
      <c r="B12" s="24" t="s">
        <v>50</v>
      </c>
      <c r="C12" s="25" t="s">
        <v>51</v>
      </c>
      <c r="D12" s="26" t="s">
        <v>52</v>
      </c>
      <c r="E12" s="27" t="s">
        <v>53</v>
      </c>
    </row>
    <row r="13" customFormat="false" ht="15" hidden="false" customHeight="true" outlineLevel="0" collapsed="false">
      <c r="B13" s="24" t="s">
        <v>54</v>
      </c>
      <c r="C13" s="30" t="s">
        <v>55</v>
      </c>
      <c r="D13" s="26" t="s">
        <v>56</v>
      </c>
      <c r="E13" s="27" t="s">
        <v>57</v>
      </c>
    </row>
    <row r="14" customFormat="false" ht="15" hidden="false" customHeight="true" outlineLevel="0" collapsed="false">
      <c r="B14" s="24" t="s">
        <v>58</v>
      </c>
      <c r="C14" s="30" t="s">
        <v>59</v>
      </c>
      <c r="D14" s="26" t="s">
        <v>56</v>
      </c>
      <c r="E14" s="27" t="s">
        <v>60</v>
      </c>
    </row>
    <row r="15" customFormat="false" ht="15" hidden="false" customHeight="true" outlineLevel="0" collapsed="false">
      <c r="B15" s="24" t="s">
        <v>61</v>
      </c>
      <c r="C15" s="30" t="s">
        <v>55</v>
      </c>
      <c r="D15" s="26" t="s">
        <v>56</v>
      </c>
      <c r="E15" s="27" t="s">
        <v>62</v>
      </c>
    </row>
    <row r="16" customFormat="false" ht="18" hidden="false" customHeight="true" outlineLevel="0" collapsed="false">
      <c r="B16" s="12" t="s">
        <v>63</v>
      </c>
      <c r="C16" s="12"/>
      <c r="D16" s="12"/>
      <c r="E16" s="12"/>
    </row>
    <row r="17" customFormat="false" ht="15" hidden="false" customHeight="true" outlineLevel="0" collapsed="false">
      <c r="B17" s="24" t="s">
        <v>64</v>
      </c>
      <c r="C17" s="30" t="s">
        <v>65</v>
      </c>
      <c r="D17" s="26" t="s">
        <v>66</v>
      </c>
      <c r="E17" s="27" t="s">
        <v>67</v>
      </c>
    </row>
    <row r="18" customFormat="false" ht="15" hidden="false" customHeight="true" outlineLevel="0" collapsed="false">
      <c r="B18" s="24" t="s">
        <v>68</v>
      </c>
      <c r="C18" s="31" t="n">
        <f aca="false">1-Assumptions!C17</f>
        <v>0.29</v>
      </c>
      <c r="D18" s="26" t="s">
        <v>66</v>
      </c>
      <c r="E18" s="27" t="s">
        <v>69</v>
      </c>
    </row>
    <row r="19" customFormat="false" ht="15" hidden="false" customHeight="true" outlineLevel="0" collapsed="false">
      <c r="B19" s="24" t="s">
        <v>70</v>
      </c>
      <c r="C19" s="28" t="n">
        <f aca="false">Assumptions!C12*Assumptions!C17</f>
        <v>1278</v>
      </c>
      <c r="D19" s="26" t="s">
        <v>52</v>
      </c>
      <c r="E19" s="27" t="s">
        <v>71</v>
      </c>
    </row>
    <row r="20" customFormat="false" ht="15" hidden="false" customHeight="true" outlineLevel="0" collapsed="false">
      <c r="B20" s="24" t="s">
        <v>72</v>
      </c>
      <c r="C20" s="28" t="n">
        <f aca="false">Assumptions!C12*Assumptions!C18</f>
        <v>522</v>
      </c>
      <c r="D20" s="26" t="s">
        <v>52</v>
      </c>
      <c r="E20" s="27" t="s">
        <v>73</v>
      </c>
    </row>
    <row r="21" customFormat="false" ht="18" hidden="false" customHeight="true" outlineLevel="0" collapsed="false">
      <c r="B21" s="12" t="s">
        <v>74</v>
      </c>
      <c r="C21" s="12"/>
      <c r="D21" s="12"/>
      <c r="E21" s="12"/>
    </row>
    <row r="22" customFormat="false" ht="15" hidden="false" customHeight="true" outlineLevel="0" collapsed="false">
      <c r="B22" s="24" t="s">
        <v>75</v>
      </c>
      <c r="C22" s="30" t="s">
        <v>76</v>
      </c>
      <c r="D22" s="26" t="s">
        <v>66</v>
      </c>
      <c r="E22" s="27" t="s">
        <v>77</v>
      </c>
    </row>
    <row r="23" customFormat="false" ht="15" hidden="false" customHeight="true" outlineLevel="0" collapsed="false">
      <c r="B23" s="24" t="s">
        <v>78</v>
      </c>
      <c r="C23" s="25" t="s">
        <v>79</v>
      </c>
      <c r="D23" s="26" t="s">
        <v>40</v>
      </c>
      <c r="E23" s="27" t="s">
        <v>80</v>
      </c>
    </row>
    <row r="24" customFormat="false" ht="15" hidden="false" customHeight="true" outlineLevel="0" collapsed="false">
      <c r="B24" s="24" t="s">
        <v>81</v>
      </c>
      <c r="C24" s="32" t="s">
        <v>82</v>
      </c>
      <c r="D24" s="26" t="s">
        <v>83</v>
      </c>
      <c r="E24" s="27" t="s">
        <v>84</v>
      </c>
    </row>
    <row r="25" customFormat="false" ht="18" hidden="false" customHeight="true" outlineLevel="0" collapsed="false">
      <c r="B25" s="12" t="s">
        <v>85</v>
      </c>
      <c r="C25" s="12"/>
      <c r="D25" s="12"/>
      <c r="E25" s="12"/>
    </row>
    <row r="26" customFormat="false" ht="15" hidden="false" customHeight="true" outlineLevel="0" collapsed="false">
      <c r="B26" s="24" t="s">
        <v>86</v>
      </c>
      <c r="C26" s="25" t="s">
        <v>87</v>
      </c>
      <c r="D26" s="26" t="s">
        <v>52</v>
      </c>
      <c r="E26" s="27" t="s">
        <v>88</v>
      </c>
    </row>
    <row r="27" customFormat="false" ht="15" hidden="false" customHeight="true" outlineLevel="0" collapsed="false">
      <c r="B27" s="24" t="s">
        <v>89</v>
      </c>
      <c r="C27" s="30" t="n">
        <v>0.0593</v>
      </c>
      <c r="D27" s="26" t="s">
        <v>66</v>
      </c>
      <c r="E27" s="27" t="s">
        <v>90</v>
      </c>
    </row>
    <row r="28" customFormat="false" ht="18" hidden="false" customHeight="true" outlineLevel="0" collapsed="false">
      <c r="B28" s="12" t="s">
        <v>91</v>
      </c>
      <c r="C28" s="12"/>
      <c r="D28" s="12"/>
      <c r="E28" s="12"/>
    </row>
    <row r="29" customFormat="false" ht="15" hidden="false" customHeight="true" outlineLevel="0" collapsed="false">
      <c r="B29" s="24" t="s">
        <v>92</v>
      </c>
      <c r="C29" s="30" t="s">
        <v>93</v>
      </c>
      <c r="D29" s="26" t="s">
        <v>66</v>
      </c>
      <c r="E29" s="27" t="s">
        <v>94</v>
      </c>
    </row>
    <row r="30" customFormat="false" ht="15" hidden="false" customHeight="true" outlineLevel="0" collapsed="false">
      <c r="B30" s="24" t="s">
        <v>95</v>
      </c>
      <c r="C30" s="25" t="s">
        <v>96</v>
      </c>
      <c r="D30" s="26" t="s">
        <v>52</v>
      </c>
      <c r="E30" s="27" t="s">
        <v>97</v>
      </c>
    </row>
    <row r="31" customFormat="false" ht="15" hidden="false" customHeight="true" outlineLevel="0" collapsed="false">
      <c r="B31" s="24" t="s">
        <v>98</v>
      </c>
      <c r="C31" s="25" t="s">
        <v>99</v>
      </c>
      <c r="D31" s="26" t="s">
        <v>52</v>
      </c>
      <c r="E31" s="27" t="s">
        <v>100</v>
      </c>
    </row>
    <row r="32" customFormat="false" ht="15" hidden="false" customHeight="true" outlineLevel="0" collapsed="false">
      <c r="B32" s="24" t="s">
        <v>101</v>
      </c>
      <c r="C32" s="25" t="s">
        <v>99</v>
      </c>
      <c r="D32" s="26" t="s">
        <v>52</v>
      </c>
      <c r="E32" s="27" t="s">
        <v>102</v>
      </c>
    </row>
    <row r="33" customFormat="false" ht="18" hidden="false" customHeight="true" outlineLevel="0" collapsed="false">
      <c r="B33" s="12" t="s">
        <v>103</v>
      </c>
      <c r="C33" s="12"/>
      <c r="D33" s="12"/>
      <c r="E33" s="12"/>
    </row>
    <row r="34" customFormat="false" ht="15" hidden="false" customHeight="true" outlineLevel="0" collapsed="false">
      <c r="B34" s="24" t="s">
        <v>104</v>
      </c>
      <c r="C34" s="25" t="n">
        <v>17</v>
      </c>
      <c r="D34" s="26" t="s">
        <v>40</v>
      </c>
      <c r="E34" s="27" t="s">
        <v>105</v>
      </c>
    </row>
    <row r="35" customFormat="false" ht="15" hidden="false" customHeight="true" outlineLevel="0" collapsed="false">
      <c r="B35" s="24" t="s">
        <v>106</v>
      </c>
      <c r="C35" s="30" t="s">
        <v>107</v>
      </c>
      <c r="D35" s="26" t="s">
        <v>66</v>
      </c>
      <c r="E35" s="27" t="s">
        <v>108</v>
      </c>
    </row>
    <row r="36" customFormat="false" ht="15" hidden="false" customHeight="true" outlineLevel="0" collapsed="false">
      <c r="B36" s="24" t="s">
        <v>109</v>
      </c>
      <c r="C36" s="30" t="n">
        <v>0.1532</v>
      </c>
      <c r="D36" s="26" t="s">
        <v>66</v>
      </c>
      <c r="E36" s="27" t="s">
        <v>110</v>
      </c>
    </row>
    <row r="37" customFormat="false" ht="15" hidden="false" customHeight="true" outlineLevel="0" collapsed="false">
      <c r="B37" s="24" t="s">
        <v>111</v>
      </c>
      <c r="C37" s="30" t="s">
        <v>112</v>
      </c>
      <c r="D37" s="26" t="s">
        <v>66</v>
      </c>
      <c r="E37" s="27" t="s">
        <v>113</v>
      </c>
    </row>
    <row r="39" customFormat="false" ht="25.5" hidden="false" customHeight="true" outlineLevel="0" collapsed="false">
      <c r="B39" s="33" t="s">
        <v>114</v>
      </c>
      <c r="C39" s="33"/>
      <c r="D39" s="33"/>
      <c r="E39" s="33"/>
    </row>
  </sheetData>
  <mergeCells count="11">
    <mergeCell ref="A1:V1"/>
    <mergeCell ref="A2:V2"/>
    <mergeCell ref="A3:V3"/>
    <mergeCell ref="B6:E6"/>
    <mergeCell ref="B11:E11"/>
    <mergeCell ref="B16:E16"/>
    <mergeCell ref="B21:E21"/>
    <mergeCell ref="B25:E25"/>
    <mergeCell ref="B28:E28"/>
    <mergeCell ref="B33:E33"/>
    <mergeCell ref="B39:E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115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116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141</v>
      </c>
    </row>
    <row r="9" customFormat="false" ht="15" hidden="false" customHeight="true" outlineLevel="0" collapsed="false">
      <c r="A9" s="36" t="s">
        <v>142</v>
      </c>
      <c r="C9" s="37" t="str">
        <f aca="false">Assumptions!$C$13</f>
        <v>0.30</v>
      </c>
      <c r="D9" s="37" t="str">
        <f aca="false">Assumptions!$C$14</f>
        <v>0.40</v>
      </c>
      <c r="E9" s="37" t="str">
        <f aca="false">Assumptions!$C$15</f>
        <v>0.30</v>
      </c>
      <c r="F9" s="38" t="n">
        <v>0</v>
      </c>
      <c r="G9" s="38" t="n">
        <v>0</v>
      </c>
      <c r="H9" s="38" t="n">
        <v>0</v>
      </c>
      <c r="I9" s="38" t="n">
        <v>0</v>
      </c>
      <c r="J9" s="38" t="n">
        <v>0</v>
      </c>
      <c r="K9" s="38" t="n">
        <v>0</v>
      </c>
      <c r="L9" s="38" t="n">
        <v>0</v>
      </c>
      <c r="M9" s="38" t="n">
        <v>0</v>
      </c>
      <c r="N9" s="38" t="n">
        <v>0</v>
      </c>
      <c r="O9" s="38" t="n">
        <v>0</v>
      </c>
      <c r="P9" s="38" t="n">
        <v>0</v>
      </c>
      <c r="Q9" s="38" t="n">
        <v>0</v>
      </c>
      <c r="R9" s="38" t="n">
        <v>0</v>
      </c>
      <c r="S9" s="38" t="n">
        <v>0</v>
      </c>
      <c r="T9" s="38" t="n">
        <v>0</v>
      </c>
      <c r="U9" s="38" t="n">
        <v>0</v>
      </c>
      <c r="V9" s="38" t="n">
        <v>0</v>
      </c>
    </row>
    <row r="10" customFormat="false" ht="15" hidden="false" customHeight="true" outlineLevel="0" collapsed="false">
      <c r="A10" s="36" t="s">
        <v>143</v>
      </c>
      <c r="C10" s="39" t="n">
        <f aca="false">C9*Assumptions!$C$12</f>
        <v>540</v>
      </c>
      <c r="D10" s="39" t="n">
        <f aca="false">D9*Assumptions!$C$12</f>
        <v>720</v>
      </c>
      <c r="E10" s="39" t="n">
        <f aca="false">E9*Assumptions!$C$12</f>
        <v>540</v>
      </c>
      <c r="F10" s="39" t="n">
        <f aca="false">F9*Assumptions!$C$12</f>
        <v>0</v>
      </c>
      <c r="G10" s="39" t="n">
        <f aca="false">G9*Assumptions!$C$12</f>
        <v>0</v>
      </c>
      <c r="H10" s="39" t="n">
        <f aca="false">H9*Assumptions!$C$12</f>
        <v>0</v>
      </c>
      <c r="I10" s="39" t="n">
        <f aca="false">I9*Assumptions!$C$12</f>
        <v>0</v>
      </c>
      <c r="J10" s="39" t="n">
        <f aca="false">J9*Assumptions!$C$12</f>
        <v>0</v>
      </c>
      <c r="K10" s="39" t="n">
        <f aca="false">K9*Assumptions!$C$12</f>
        <v>0</v>
      </c>
      <c r="L10" s="39" t="n">
        <f aca="false">L9*Assumptions!$C$12</f>
        <v>0</v>
      </c>
      <c r="M10" s="39" t="n">
        <f aca="false">M9*Assumptions!$C$12</f>
        <v>0</v>
      </c>
      <c r="N10" s="39" t="n">
        <f aca="false">N9*Assumptions!$C$12</f>
        <v>0</v>
      </c>
      <c r="O10" s="39" t="n">
        <f aca="false">O9*Assumptions!$C$12</f>
        <v>0</v>
      </c>
      <c r="P10" s="39" t="n">
        <f aca="false">P9*Assumptions!$C$12</f>
        <v>0</v>
      </c>
      <c r="Q10" s="39" t="n">
        <f aca="false">Q9*Assumptions!$C$12</f>
        <v>0</v>
      </c>
      <c r="R10" s="39" t="n">
        <f aca="false">R9*Assumptions!$C$12</f>
        <v>0</v>
      </c>
      <c r="S10" s="39" t="n">
        <f aca="false">S9*Assumptions!$C$12</f>
        <v>0</v>
      </c>
      <c r="T10" s="39" t="n">
        <f aca="false">T9*Assumptions!$C$12</f>
        <v>0</v>
      </c>
      <c r="U10" s="39" t="n">
        <f aca="false">U9*Assumptions!$C$12</f>
        <v>0</v>
      </c>
      <c r="V10" s="39" t="n">
        <f aca="false">V9*Assumptions!$C$12</f>
        <v>0</v>
      </c>
    </row>
    <row r="11" customFormat="false" ht="15" hidden="false" customHeight="true" outlineLevel="0" collapsed="false">
      <c r="A11" s="36" t="s">
        <v>144</v>
      </c>
      <c r="C11" s="40" t="n">
        <f aca="false">C10</f>
        <v>540</v>
      </c>
      <c r="D11" s="40" t="n">
        <f aca="false">C11+D10</f>
        <v>1260</v>
      </c>
      <c r="E11" s="40" t="n">
        <f aca="false">D11+E10</f>
        <v>1800</v>
      </c>
      <c r="F11" s="40" t="n">
        <f aca="false">E11+F10</f>
        <v>1800</v>
      </c>
      <c r="G11" s="40" t="n">
        <f aca="false">F11+G10</f>
        <v>1800</v>
      </c>
      <c r="H11" s="40" t="n">
        <f aca="false">G11+H10</f>
        <v>1800</v>
      </c>
      <c r="I11" s="40" t="n">
        <f aca="false">H11+I10</f>
        <v>1800</v>
      </c>
      <c r="J11" s="40" t="n">
        <f aca="false">I11+J10</f>
        <v>1800</v>
      </c>
      <c r="K11" s="40" t="n">
        <f aca="false">J11+K10</f>
        <v>1800</v>
      </c>
      <c r="L11" s="40" t="n">
        <f aca="false">K11+L10</f>
        <v>1800</v>
      </c>
      <c r="M11" s="40" t="n">
        <f aca="false">L11+M10</f>
        <v>1800</v>
      </c>
      <c r="N11" s="40" t="n">
        <f aca="false">M11+N10</f>
        <v>1800</v>
      </c>
      <c r="O11" s="40" t="n">
        <f aca="false">N11+O10</f>
        <v>1800</v>
      </c>
      <c r="P11" s="40" t="n">
        <f aca="false">O11+P10</f>
        <v>1800</v>
      </c>
      <c r="Q11" s="40" t="n">
        <f aca="false">P11+Q10</f>
        <v>1800</v>
      </c>
      <c r="R11" s="40" t="n">
        <f aca="false">Q11+R10</f>
        <v>1800</v>
      </c>
      <c r="S11" s="40" t="n">
        <f aca="false">R11+S10</f>
        <v>1800</v>
      </c>
      <c r="T11" s="40" t="n">
        <f aca="false">S11+T10</f>
        <v>1800</v>
      </c>
      <c r="U11" s="40" t="n">
        <f aca="false">T11+U10</f>
        <v>1800</v>
      </c>
      <c r="V11" s="40" t="n">
        <f aca="false">U11+V10</f>
        <v>1800</v>
      </c>
    </row>
    <row r="12" customFormat="false" ht="15" hidden="false" customHeight="true" outlineLevel="0" collapsed="false">
      <c r="A12" s="13" t="s">
        <v>145</v>
      </c>
    </row>
    <row r="13" customFormat="false" ht="15" hidden="false" customHeight="true" outlineLevel="0" collapsed="false">
      <c r="A13" s="36" t="s">
        <v>146</v>
      </c>
      <c r="C13" s="39" t="n">
        <f aca="false">C10*Assumptions!$C$17</f>
        <v>383.4</v>
      </c>
      <c r="D13" s="39" t="n">
        <f aca="false">D10*Assumptions!$C$17</f>
        <v>511.2</v>
      </c>
      <c r="E13" s="39" t="n">
        <f aca="false">E10*Assumptions!$C$17</f>
        <v>383.4</v>
      </c>
      <c r="F13" s="39" t="n">
        <f aca="false">F10*Assumptions!$C$17</f>
        <v>0</v>
      </c>
      <c r="G13" s="39" t="n">
        <f aca="false">G10*Assumptions!$C$17</f>
        <v>0</v>
      </c>
      <c r="H13" s="39" t="n">
        <f aca="false">H10*Assumptions!$C$17</f>
        <v>0</v>
      </c>
      <c r="I13" s="39" t="n">
        <f aca="false">I10*Assumptions!$C$17</f>
        <v>0</v>
      </c>
      <c r="J13" s="39" t="n">
        <f aca="false">J10*Assumptions!$C$17</f>
        <v>0</v>
      </c>
      <c r="K13" s="39" t="n">
        <f aca="false">K10*Assumptions!$C$17</f>
        <v>0</v>
      </c>
      <c r="L13" s="39" t="n">
        <f aca="false">L10*Assumptions!$C$17</f>
        <v>0</v>
      </c>
      <c r="M13" s="39" t="n">
        <f aca="false">M10*Assumptions!$C$17</f>
        <v>0</v>
      </c>
      <c r="N13" s="39" t="n">
        <f aca="false">N10*Assumptions!$C$17</f>
        <v>0</v>
      </c>
      <c r="O13" s="39" t="n">
        <f aca="false">O10*Assumptions!$C$17</f>
        <v>0</v>
      </c>
      <c r="P13" s="39" t="n">
        <f aca="false">P10*Assumptions!$C$17</f>
        <v>0</v>
      </c>
      <c r="Q13" s="39" t="n">
        <f aca="false">Q10*Assumptions!$C$17</f>
        <v>0</v>
      </c>
      <c r="R13" s="39" t="n">
        <f aca="false">R10*Assumptions!$C$17</f>
        <v>0</v>
      </c>
      <c r="S13" s="39" t="n">
        <f aca="false">S10*Assumptions!$C$17</f>
        <v>0</v>
      </c>
      <c r="T13" s="39" t="n">
        <f aca="false">T10*Assumptions!$C$17</f>
        <v>0</v>
      </c>
      <c r="U13" s="39" t="n">
        <f aca="false">U10*Assumptions!$C$17</f>
        <v>0</v>
      </c>
      <c r="V13" s="39" t="n">
        <f aca="false">V10*Assumptions!$C$17</f>
        <v>0</v>
      </c>
    </row>
    <row r="14" customFormat="false" ht="15" hidden="false" customHeight="true" outlineLevel="0" collapsed="false">
      <c r="A14" s="36" t="s">
        <v>147</v>
      </c>
      <c r="C14" s="39" t="n">
        <f aca="false">C10*Assumptions!$C$18</f>
        <v>156.6</v>
      </c>
      <c r="D14" s="39" t="n">
        <f aca="false">D10*Assumptions!$C$18</f>
        <v>208.8</v>
      </c>
      <c r="E14" s="39" t="n">
        <f aca="false">E10*Assumptions!$C$18</f>
        <v>156.6</v>
      </c>
      <c r="F14" s="39" t="n">
        <f aca="false">F10*Assumptions!$C$18</f>
        <v>0</v>
      </c>
      <c r="G14" s="39" t="n">
        <f aca="false">G10*Assumptions!$C$18</f>
        <v>0</v>
      </c>
      <c r="H14" s="39" t="n">
        <f aca="false">H10*Assumptions!$C$18</f>
        <v>0</v>
      </c>
      <c r="I14" s="39" t="n">
        <f aca="false">I10*Assumptions!$C$18</f>
        <v>0</v>
      </c>
      <c r="J14" s="39" t="n">
        <f aca="false">J10*Assumptions!$C$18</f>
        <v>0</v>
      </c>
      <c r="K14" s="39" t="n">
        <f aca="false">K10*Assumptions!$C$18</f>
        <v>0</v>
      </c>
      <c r="L14" s="39" t="n">
        <f aca="false">L10*Assumptions!$C$18</f>
        <v>0</v>
      </c>
      <c r="M14" s="39" t="n">
        <f aca="false">M10*Assumptions!$C$18</f>
        <v>0</v>
      </c>
      <c r="N14" s="39" t="n">
        <f aca="false">N10*Assumptions!$C$18</f>
        <v>0</v>
      </c>
      <c r="O14" s="39" t="n">
        <f aca="false">O10*Assumptions!$C$18</f>
        <v>0</v>
      </c>
      <c r="P14" s="39" t="n">
        <f aca="false">P10*Assumptions!$C$18</f>
        <v>0</v>
      </c>
      <c r="Q14" s="39" t="n">
        <f aca="false">Q10*Assumptions!$C$18</f>
        <v>0</v>
      </c>
      <c r="R14" s="39" t="n">
        <f aca="false">R10*Assumptions!$C$18</f>
        <v>0</v>
      </c>
      <c r="S14" s="39" t="n">
        <f aca="false">S10*Assumptions!$C$18</f>
        <v>0</v>
      </c>
      <c r="T14" s="39" t="n">
        <f aca="false">T10*Assumptions!$C$18</f>
        <v>0</v>
      </c>
      <c r="U14" s="39" t="n">
        <f aca="false">U10*Assumptions!$C$18</f>
        <v>0</v>
      </c>
      <c r="V14" s="39" t="n">
        <f aca="false">V10*Assumptions!$C$18</f>
        <v>0</v>
      </c>
    </row>
    <row r="15" customFormat="false" ht="15" hidden="false" customHeight="true" outlineLevel="0" collapsed="false">
      <c r="A15" s="41" t="s">
        <v>148</v>
      </c>
      <c r="C15" s="42" t="n">
        <f aca="false">C13+C14</f>
        <v>540</v>
      </c>
      <c r="D15" s="42" t="n">
        <f aca="false">D13+D14</f>
        <v>720</v>
      </c>
      <c r="E15" s="42" t="n">
        <f aca="false">E13+E14</f>
        <v>540</v>
      </c>
      <c r="F15" s="42" t="n">
        <f aca="false">F13+F14</f>
        <v>0</v>
      </c>
      <c r="G15" s="42" t="n">
        <f aca="false">G13+G14</f>
        <v>0</v>
      </c>
      <c r="H15" s="42" t="n">
        <f aca="false">H13+H14</f>
        <v>0</v>
      </c>
      <c r="I15" s="42" t="n">
        <f aca="false">I13+I14</f>
        <v>0</v>
      </c>
      <c r="J15" s="42" t="n">
        <f aca="false">J13+J14</f>
        <v>0</v>
      </c>
      <c r="K15" s="42" t="n">
        <f aca="false">K13+K14</f>
        <v>0</v>
      </c>
      <c r="L15" s="42" t="n">
        <f aca="false">L13+L14</f>
        <v>0</v>
      </c>
      <c r="M15" s="42" t="n">
        <f aca="false">M13+M14</f>
        <v>0</v>
      </c>
      <c r="N15" s="42" t="n">
        <f aca="false">N13+N14</f>
        <v>0</v>
      </c>
      <c r="O15" s="42" t="n">
        <f aca="false">O13+O14</f>
        <v>0</v>
      </c>
      <c r="P15" s="42" t="n">
        <f aca="false">P13+P14</f>
        <v>0</v>
      </c>
      <c r="Q15" s="42" t="n">
        <f aca="false">Q13+Q14</f>
        <v>0</v>
      </c>
      <c r="R15" s="42" t="n">
        <f aca="false">R13+R14</f>
        <v>0</v>
      </c>
      <c r="S15" s="42" t="n">
        <f aca="false">S13+S14</f>
        <v>0</v>
      </c>
      <c r="T15" s="42" t="n">
        <f aca="false">T13+T14</f>
        <v>0</v>
      </c>
      <c r="U15" s="42" t="n">
        <f aca="false">U13+U14</f>
        <v>0</v>
      </c>
      <c r="V15" s="42" t="n">
        <f aca="false">V13+V14</f>
        <v>0</v>
      </c>
    </row>
    <row r="17" customFormat="false" ht="15" hidden="false" customHeight="true" outlineLevel="0" collapsed="false">
      <c r="A17" s="15" t="s">
        <v>149</v>
      </c>
      <c r="C17" s="40" t="n">
        <f aca="false">SUM(C10:V10)</f>
        <v>1800</v>
      </c>
      <c r="D17" s="17" t="s">
        <v>150</v>
      </c>
      <c r="E17" s="15" t="str">
        <f aca="false">IF(ABS(C17-Assumptions!$C$12)&lt;0.01,"OK","ERR")</f>
        <v>OK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151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152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153</v>
      </c>
    </row>
    <row r="9" customFormat="false" ht="15" hidden="false" customHeight="true" outlineLevel="0" collapsed="false">
      <c r="A9" s="36" t="s">
        <v>154</v>
      </c>
      <c r="C9" s="40" t="n">
        <f aca="false">MAX(0,1-Assumptions!$C$7)</f>
        <v>0</v>
      </c>
      <c r="D9" s="40" t="n">
        <f aca="false">MAX(0,2-Assumptions!$C$7)</f>
        <v>0</v>
      </c>
      <c r="E9" s="40" t="n">
        <f aca="false">MAX(0,3-Assumptions!$C$7)</f>
        <v>0</v>
      </c>
      <c r="F9" s="40" t="n">
        <f aca="false">MAX(0,4-Assumptions!$C$7)</f>
        <v>1</v>
      </c>
      <c r="G9" s="40" t="n">
        <f aca="false">MAX(0,5-Assumptions!$C$7)</f>
        <v>2</v>
      </c>
      <c r="H9" s="40" t="n">
        <f aca="false">MAX(0,6-Assumptions!$C$7)</f>
        <v>3</v>
      </c>
      <c r="I9" s="40" t="n">
        <f aca="false">MAX(0,7-Assumptions!$C$7)</f>
        <v>4</v>
      </c>
      <c r="J9" s="40" t="n">
        <f aca="false">MAX(0,8-Assumptions!$C$7)</f>
        <v>5</v>
      </c>
      <c r="K9" s="40" t="n">
        <f aca="false">MAX(0,9-Assumptions!$C$7)</f>
        <v>6</v>
      </c>
      <c r="L9" s="40" t="n">
        <f aca="false">MAX(0,10-Assumptions!$C$7)</f>
        <v>7</v>
      </c>
      <c r="M9" s="40" t="n">
        <f aca="false">MAX(0,11-Assumptions!$C$7)</f>
        <v>8</v>
      </c>
      <c r="N9" s="40" t="n">
        <f aca="false">MAX(0,12-Assumptions!$C$7)</f>
        <v>9</v>
      </c>
      <c r="O9" s="40" t="n">
        <f aca="false">MAX(0,13-Assumptions!$C$7)</f>
        <v>10</v>
      </c>
      <c r="P9" s="40" t="n">
        <f aca="false">MAX(0,14-Assumptions!$C$7)</f>
        <v>11</v>
      </c>
      <c r="Q9" s="40" t="n">
        <f aca="false">MAX(0,15-Assumptions!$C$7)</f>
        <v>12</v>
      </c>
      <c r="R9" s="40" t="n">
        <f aca="false">MAX(0,16-Assumptions!$C$7)</f>
        <v>13</v>
      </c>
      <c r="S9" s="40" t="n">
        <f aca="false">MAX(0,17-Assumptions!$C$7)</f>
        <v>14</v>
      </c>
      <c r="T9" s="40" t="n">
        <f aca="false">MAX(0,18-Assumptions!$C$7)</f>
        <v>15</v>
      </c>
      <c r="U9" s="40" t="n">
        <f aca="false">MAX(0,19-Assumptions!$C$7)</f>
        <v>16</v>
      </c>
      <c r="V9" s="40" t="n">
        <f aca="false">MAX(0,20-Assumptions!$C$7)</f>
        <v>17</v>
      </c>
    </row>
    <row r="10" customFormat="false" ht="15" hidden="false" customHeight="true" outlineLevel="0" collapsed="false">
      <c r="A10" s="36" t="s">
        <v>155</v>
      </c>
      <c r="C10" s="43" t="n">
        <f aca="false">IF(C9=0,0,(1+Assumptions!$C$27)^(C9-1))</f>
        <v>0</v>
      </c>
      <c r="D10" s="43" t="n">
        <f aca="false">IF(D9=0,0,(1+Assumptions!$C$27)^(D9-1))</f>
        <v>0</v>
      </c>
      <c r="E10" s="43" t="n">
        <f aca="false">IF(E9=0,0,(1+Assumptions!$C$27)^(E9-1))</f>
        <v>0</v>
      </c>
      <c r="F10" s="43" t="n">
        <f aca="false">IF(F9=0,0,(1+Assumptions!$C$27)^(F9-1))</f>
        <v>1</v>
      </c>
      <c r="G10" s="43" t="n">
        <f aca="false">IF(G9=0,0,(1+Assumptions!$C$27)^(G9-1))</f>
        <v>1.0593</v>
      </c>
      <c r="H10" s="43" t="n">
        <f aca="false">IF(H9=0,0,(1+Assumptions!$C$27)^(H9-1))</f>
        <v>1.12211649</v>
      </c>
      <c r="I10" s="43" t="n">
        <f aca="false">IF(I9=0,0,(1+Assumptions!$C$27)^(I9-1))</f>
        <v>1.188657997857</v>
      </c>
      <c r="J10" s="43" t="n">
        <f aca="false">IF(J9=0,0,(1+Assumptions!$C$27)^(J9-1))</f>
        <v>1.25914541712992</v>
      </c>
      <c r="K10" s="43" t="n">
        <f aca="false">IF(K9=0,0,(1+Assumptions!$C$27)^(K9-1))</f>
        <v>1.33381274036572</v>
      </c>
      <c r="L10" s="43" t="n">
        <f aca="false">IF(L9=0,0,(1+Assumptions!$C$27)^(L9-1))</f>
        <v>1.41290783586941</v>
      </c>
      <c r="M10" s="43" t="n">
        <f aca="false">IF(M9=0,0,(1+Assumptions!$C$27)^(M9-1))</f>
        <v>1.49669327053647</v>
      </c>
      <c r="N10" s="43" t="n">
        <f aca="false">IF(N9=0,0,(1+Assumptions!$C$27)^(N9-1))</f>
        <v>1.58544718147928</v>
      </c>
      <c r="O10" s="43" t="n">
        <f aca="false">IF(O9=0,0,(1+Assumptions!$C$27)^(O9-1))</f>
        <v>1.679464199341</v>
      </c>
      <c r="P10" s="43" t="n">
        <f aca="false">IF(P9=0,0,(1+Assumptions!$C$27)^(P9-1))</f>
        <v>1.77905642636192</v>
      </c>
      <c r="Q10" s="43" t="n">
        <f aca="false">IF(Q9=0,0,(1+Assumptions!$C$27)^(Q9-1))</f>
        <v>1.88455447244518</v>
      </c>
      <c r="R10" s="43" t="n">
        <f aca="false">IF(R9=0,0,(1+Assumptions!$C$27)^(R9-1))</f>
        <v>1.99630855266118</v>
      </c>
      <c r="S10" s="43" t="n">
        <f aca="false">IF(S9=0,0,(1+Assumptions!$C$27)^(S9-1))</f>
        <v>2.11468964983399</v>
      </c>
      <c r="T10" s="43" t="n">
        <f aca="false">IF(T9=0,0,(1+Assumptions!$C$27)^(T9-1))</f>
        <v>2.24009074606915</v>
      </c>
      <c r="U10" s="43" t="n">
        <f aca="false">IF(U9=0,0,(1+Assumptions!$C$27)^(U9-1))</f>
        <v>2.37292812731105</v>
      </c>
      <c r="V10" s="43" t="n">
        <f aca="false">IF(V9=0,0,(1+Assumptions!$C$27)^(V9-1))</f>
        <v>2.51364276526059</v>
      </c>
    </row>
    <row r="12" customFormat="false" ht="15" hidden="false" customHeight="true" outlineLevel="0" collapsed="false">
      <c r="A12" s="41" t="s">
        <v>156</v>
      </c>
      <c r="C12" s="39" t="n">
        <f aca="false">IF(C9=0,0,Assumptions!$C$26*C10)</f>
        <v>0</v>
      </c>
      <c r="D12" s="39" t="n">
        <f aca="false">IF(D9=0,0,Assumptions!$C$26*D10)</f>
        <v>0</v>
      </c>
      <c r="E12" s="39" t="n">
        <f aca="false">IF(E9=0,0,Assumptions!$C$26*E10)</f>
        <v>0</v>
      </c>
      <c r="F12" s="39" t="n">
        <f aca="false">IF(F9=0,0,Assumptions!$C$26*F10)</f>
        <v>304</v>
      </c>
      <c r="G12" s="39" t="n">
        <f aca="false">IF(G9=0,0,Assumptions!$C$26*G10)</f>
        <v>322.0272</v>
      </c>
      <c r="H12" s="39" t="n">
        <f aca="false">IF(H9=0,0,Assumptions!$C$26*H10)</f>
        <v>341.12341296</v>
      </c>
      <c r="I12" s="39" t="n">
        <f aca="false">IF(I9=0,0,Assumptions!$C$26*I10)</f>
        <v>361.352031348528</v>
      </c>
      <c r="J12" s="39" t="n">
        <f aca="false">IF(J9=0,0,Assumptions!$C$26*J10)</f>
        <v>382.780206807496</v>
      </c>
      <c r="K12" s="39" t="n">
        <f aca="false">IF(K9=0,0,Assumptions!$C$26*K10)</f>
        <v>405.47907307118</v>
      </c>
      <c r="L12" s="39" t="n">
        <f aca="false">IF(L9=0,0,Assumptions!$C$26*L10)</f>
        <v>429.523982104301</v>
      </c>
      <c r="M12" s="39" t="n">
        <f aca="false">IF(M9=0,0,Assumptions!$C$26*M10)</f>
        <v>454.994754243086</v>
      </c>
      <c r="N12" s="39" t="n">
        <f aca="false">IF(N9=0,0,Assumptions!$C$26*N10)</f>
        <v>481.975943169701</v>
      </c>
      <c r="O12" s="39" t="n">
        <f aca="false">IF(O9=0,0,Assumptions!$C$26*O10)</f>
        <v>510.557116599664</v>
      </c>
      <c r="P12" s="39" t="n">
        <f aca="false">IF(P9=0,0,Assumptions!$C$26*P10)</f>
        <v>540.833153614024</v>
      </c>
      <c r="Q12" s="39" t="n">
        <f aca="false">IF(Q9=0,0,Assumptions!$C$26*Q10)</f>
        <v>572.904559623336</v>
      </c>
      <c r="R12" s="39" t="n">
        <f aca="false">IF(R9=0,0,Assumptions!$C$26*R10)</f>
        <v>606.877800009</v>
      </c>
      <c r="S12" s="39" t="n">
        <f aca="false">IF(S9=0,0,Assumptions!$C$26*S10)</f>
        <v>642.865653549533</v>
      </c>
      <c r="T12" s="39" t="n">
        <f aca="false">IF(T9=0,0,Assumptions!$C$26*T10)</f>
        <v>680.98758680502</v>
      </c>
      <c r="U12" s="39" t="n">
        <f aca="false">IF(U9=0,0,Assumptions!$C$26*U10)</f>
        <v>721.370150702558</v>
      </c>
      <c r="V12" s="39" t="n">
        <f aca="false">IF(V9=0,0,Assumptions!$C$26*V10)</f>
        <v>764.14740063922</v>
      </c>
    </row>
    <row r="13" customFormat="false" ht="15" hidden="false" customHeight="true" outlineLevel="0" collapsed="false">
      <c r="A13" s="36" t="s">
        <v>157</v>
      </c>
      <c r="C13" s="40" t="n">
        <f aca="false">IF(C12=0,0,C12)</f>
        <v>0</v>
      </c>
      <c r="D13" s="40" t="n">
        <f aca="false">IF(D12=0,0,D12)</f>
        <v>0</v>
      </c>
      <c r="E13" s="40" t="n">
        <f aca="false">IF(E12=0,0,E12)</f>
        <v>0</v>
      </c>
      <c r="F13" s="40" t="n">
        <f aca="false">IF(F12=0,0,F12)</f>
        <v>304</v>
      </c>
      <c r="G13" s="40" t="n">
        <f aca="false">IF(G12=0,0,G12)</f>
        <v>322.0272</v>
      </c>
      <c r="H13" s="40" t="n">
        <f aca="false">IF(H12=0,0,H12)</f>
        <v>341.12341296</v>
      </c>
      <c r="I13" s="40" t="n">
        <f aca="false">IF(I12=0,0,I12)</f>
        <v>361.352031348528</v>
      </c>
      <c r="J13" s="40" t="n">
        <f aca="false">IF(J12=0,0,J12)</f>
        <v>382.780206807496</v>
      </c>
      <c r="K13" s="40" t="n">
        <f aca="false">IF(K12=0,0,K12)</f>
        <v>405.47907307118</v>
      </c>
      <c r="L13" s="40" t="n">
        <f aca="false">IF(L12=0,0,L12)</f>
        <v>429.523982104301</v>
      </c>
      <c r="M13" s="40" t="n">
        <f aca="false">IF(M12=0,0,M12)</f>
        <v>454.994754243086</v>
      </c>
      <c r="N13" s="40" t="n">
        <f aca="false">IF(N12=0,0,N12)</f>
        <v>481.975943169701</v>
      </c>
      <c r="O13" s="40" t="n">
        <f aca="false">IF(O12=0,0,O12)</f>
        <v>510.557116599664</v>
      </c>
      <c r="P13" s="40" t="n">
        <f aca="false">IF(P12=0,0,P12)</f>
        <v>540.833153614024</v>
      </c>
      <c r="Q13" s="40" t="n">
        <f aca="false">IF(Q12=0,0,Q12)</f>
        <v>572.904559623336</v>
      </c>
      <c r="R13" s="40" t="n">
        <f aca="false">IF(R12=0,0,R12)</f>
        <v>606.877800009</v>
      </c>
      <c r="S13" s="40" t="n">
        <f aca="false">IF(S12=0,0,S12)</f>
        <v>642.865653549533</v>
      </c>
      <c r="T13" s="40" t="n">
        <f aca="false">IF(T12=0,0,T12)</f>
        <v>680.98758680502</v>
      </c>
      <c r="U13" s="40" t="n">
        <f aca="false">IF(U12=0,0,U12)</f>
        <v>721.370150702558</v>
      </c>
      <c r="V13" s="40" t="n">
        <f aca="false">IF(V12=0,0,V12)</f>
        <v>764.14740063922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158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159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160</v>
      </c>
    </row>
    <row r="9" customFormat="false" ht="15" hidden="false" customHeight="true" outlineLevel="0" collapsed="false">
      <c r="A9" s="36" t="s">
        <v>161</v>
      </c>
      <c r="C9" s="39" t="n">
        <f aca="false">'Traffic &amp; Revenue'!C12*Assumptions!$C$29</f>
        <v>0</v>
      </c>
      <c r="D9" s="39" t="n">
        <f aca="false">'Traffic &amp; Revenue'!D12*Assumptions!$C$29</f>
        <v>0</v>
      </c>
      <c r="E9" s="39" t="n">
        <f aca="false">'Traffic &amp; Revenue'!E12*Assumptions!$C$29</f>
        <v>0</v>
      </c>
      <c r="F9" s="39" t="n">
        <f aca="false">'Traffic &amp; Revenue'!F12*Assumptions!$C$29</f>
        <v>50.16</v>
      </c>
      <c r="G9" s="39" t="n">
        <f aca="false">'Traffic &amp; Revenue'!G12*Assumptions!$C$29</f>
        <v>53.134488</v>
      </c>
      <c r="H9" s="39" t="n">
        <f aca="false">'Traffic &amp; Revenue'!H12*Assumptions!$C$29</f>
        <v>56.2853631384</v>
      </c>
      <c r="I9" s="39" t="n">
        <f aca="false">'Traffic &amp; Revenue'!I12*Assumptions!$C$29</f>
        <v>59.6230851725071</v>
      </c>
      <c r="J9" s="39" t="n">
        <f aca="false">'Traffic &amp; Revenue'!J12*Assumptions!$C$29</f>
        <v>63.1587341232368</v>
      </c>
      <c r="K9" s="39" t="n">
        <f aca="false">'Traffic &amp; Revenue'!K12*Assumptions!$C$29</f>
        <v>66.9040470567447</v>
      </c>
      <c r="L9" s="39" t="n">
        <f aca="false">'Traffic &amp; Revenue'!L12*Assumptions!$C$29</f>
        <v>70.8714570472097</v>
      </c>
      <c r="M9" s="39" t="n">
        <f aca="false">'Traffic &amp; Revenue'!M12*Assumptions!$C$29</f>
        <v>75.0741344501092</v>
      </c>
      <c r="N9" s="39" t="n">
        <f aca="false">'Traffic &amp; Revenue'!N12*Assumptions!$C$29</f>
        <v>79.5260306230007</v>
      </c>
      <c r="O9" s="39" t="n">
        <f aca="false">'Traffic &amp; Revenue'!O12*Assumptions!$C$29</f>
        <v>84.2419242389446</v>
      </c>
      <c r="P9" s="39" t="n">
        <f aca="false">'Traffic &amp; Revenue'!P12*Assumptions!$C$29</f>
        <v>89.237470346314</v>
      </c>
      <c r="Q9" s="39" t="n">
        <f aca="false">'Traffic &amp; Revenue'!Q12*Assumptions!$C$29</f>
        <v>94.5292523378504</v>
      </c>
      <c r="R9" s="39" t="n">
        <f aca="false">'Traffic &amp; Revenue'!R12*Assumptions!$C$29</f>
        <v>100.134837001485</v>
      </c>
      <c r="S9" s="39" t="n">
        <f aca="false">'Traffic &amp; Revenue'!S12*Assumptions!$C$29</f>
        <v>106.072832835673</v>
      </c>
      <c r="T9" s="39" t="n">
        <f aca="false">'Traffic &amp; Revenue'!T12*Assumptions!$C$29</f>
        <v>112.362951822828</v>
      </c>
      <c r="U9" s="39" t="n">
        <f aca="false">'Traffic &amp; Revenue'!U12*Assumptions!$C$29</f>
        <v>119.026074865922</v>
      </c>
      <c r="V9" s="39" t="n">
        <f aca="false">'Traffic &amp; Revenue'!V12*Assumptions!$C$29</f>
        <v>126.084321105471</v>
      </c>
    </row>
    <row r="10" customFormat="false" ht="15" hidden="false" customHeight="true" outlineLevel="0" collapsed="false">
      <c r="A10" s="36" t="s">
        <v>162</v>
      </c>
      <c r="C10" s="39" t="n">
        <f aca="false">IF('Traffic &amp; Revenue'!C9=5,Assumptions!$C$30,IF('Traffic &amp; Revenue'!C9=10,Assumptions!$C$31,IF('Traffic &amp; Revenue'!C9=15,Assumptions!$C$32,0)))</f>
        <v>0</v>
      </c>
      <c r="D10" s="39" t="n">
        <f aca="false">IF('Traffic &amp; Revenue'!D9=5,Assumptions!$C$30,IF('Traffic &amp; Revenue'!D9=10,Assumptions!$C$31,IF('Traffic &amp; Revenue'!D9=15,Assumptions!$C$32,0)))</f>
        <v>0</v>
      </c>
      <c r="E10" s="39" t="n">
        <f aca="false">IF('Traffic &amp; Revenue'!E9=5,Assumptions!$C$30,IF('Traffic &amp; Revenue'!E9=10,Assumptions!$C$31,IF('Traffic &amp; Revenue'!E9=15,Assumptions!$C$32,0)))</f>
        <v>0</v>
      </c>
      <c r="F10" s="39" t="n">
        <f aca="false">IF('Traffic &amp; Revenue'!F9=5,Assumptions!$C$30,IF('Traffic &amp; Revenue'!F9=10,Assumptions!$C$31,IF('Traffic &amp; Revenue'!F9=15,Assumptions!$C$32,0)))</f>
        <v>0</v>
      </c>
      <c r="G10" s="39" t="n">
        <f aca="false">IF('Traffic &amp; Revenue'!G9=5,Assumptions!$C$30,IF('Traffic &amp; Revenue'!G9=10,Assumptions!$C$31,IF('Traffic &amp; Revenue'!G9=15,Assumptions!$C$32,0)))</f>
        <v>0</v>
      </c>
      <c r="H10" s="39" t="n">
        <f aca="false">IF('Traffic &amp; Revenue'!H9=5,Assumptions!$C$30,IF('Traffic &amp; Revenue'!H9=10,Assumptions!$C$31,IF('Traffic &amp; Revenue'!H9=15,Assumptions!$C$32,0)))</f>
        <v>0</v>
      </c>
      <c r="I10" s="39" t="n">
        <f aca="false">IF('Traffic &amp; Revenue'!I9=5,Assumptions!$C$30,IF('Traffic &amp; Revenue'!I9=10,Assumptions!$C$31,IF('Traffic &amp; Revenue'!I9=15,Assumptions!$C$32,0)))</f>
        <v>0</v>
      </c>
      <c r="J10" s="39" t="str">
        <f aca="false">IF('Traffic &amp; Revenue'!J9=5,Assumptions!$C$30,IF('Traffic &amp; Revenue'!J9=10,Assumptions!$C$31,IF('Traffic &amp; Revenue'!J9=15,Assumptions!$C$32,0)))</f>
        <v>40</v>
      </c>
      <c r="K10" s="39" t="n">
        <f aca="false">IF('Traffic &amp; Revenue'!K9=5,Assumptions!$C$30,IF('Traffic &amp; Revenue'!K9=10,Assumptions!$C$31,IF('Traffic &amp; Revenue'!K9=15,Assumptions!$C$32,0)))</f>
        <v>0</v>
      </c>
      <c r="L10" s="39" t="n">
        <f aca="false">IF('Traffic &amp; Revenue'!L9=5,Assumptions!$C$30,IF('Traffic &amp; Revenue'!L9=10,Assumptions!$C$31,IF('Traffic &amp; Revenue'!L9=15,Assumptions!$C$32,0)))</f>
        <v>0</v>
      </c>
      <c r="M10" s="39" t="n">
        <f aca="false">IF('Traffic &amp; Revenue'!M9=5,Assumptions!$C$30,IF('Traffic &amp; Revenue'!M9=10,Assumptions!$C$31,IF('Traffic &amp; Revenue'!M9=15,Assumptions!$C$32,0)))</f>
        <v>0</v>
      </c>
      <c r="N10" s="39" t="n">
        <f aca="false">IF('Traffic &amp; Revenue'!N9=5,Assumptions!$C$30,IF('Traffic &amp; Revenue'!N9=10,Assumptions!$C$31,IF('Traffic &amp; Revenue'!N9=15,Assumptions!$C$32,0)))</f>
        <v>0</v>
      </c>
      <c r="O10" s="39" t="str">
        <f aca="false">IF('Traffic &amp; Revenue'!O9=5,Assumptions!$C$30,IF('Traffic &amp; Revenue'!O9=10,Assumptions!$C$31,IF('Traffic &amp; Revenue'!O9=15,Assumptions!$C$32,0)))</f>
        <v>90</v>
      </c>
      <c r="P10" s="39" t="n">
        <f aca="false">IF('Traffic &amp; Revenue'!P9=5,Assumptions!$C$30,IF('Traffic &amp; Revenue'!P9=10,Assumptions!$C$31,IF('Traffic &amp; Revenue'!P9=15,Assumptions!$C$32,0)))</f>
        <v>0</v>
      </c>
      <c r="Q10" s="39" t="n">
        <f aca="false">IF('Traffic &amp; Revenue'!Q9=5,Assumptions!$C$30,IF('Traffic &amp; Revenue'!Q9=10,Assumptions!$C$31,IF('Traffic &amp; Revenue'!Q9=15,Assumptions!$C$32,0)))</f>
        <v>0</v>
      </c>
      <c r="R10" s="39" t="n">
        <f aca="false">IF('Traffic &amp; Revenue'!R9=5,Assumptions!$C$30,IF('Traffic &amp; Revenue'!R9=10,Assumptions!$C$31,IF('Traffic &amp; Revenue'!R9=15,Assumptions!$C$32,0)))</f>
        <v>0</v>
      </c>
      <c r="S10" s="39" t="n">
        <f aca="false">IF('Traffic &amp; Revenue'!S9=5,Assumptions!$C$30,IF('Traffic &amp; Revenue'!S9=10,Assumptions!$C$31,IF('Traffic &amp; Revenue'!S9=15,Assumptions!$C$32,0)))</f>
        <v>0</v>
      </c>
      <c r="T10" s="39" t="str">
        <f aca="false">IF('Traffic &amp; Revenue'!T9=5,Assumptions!$C$30,IF('Traffic &amp; Revenue'!T9=10,Assumptions!$C$31,IF('Traffic &amp; Revenue'!T9=15,Assumptions!$C$32,0)))</f>
        <v>90</v>
      </c>
      <c r="U10" s="39" t="n">
        <f aca="false">IF('Traffic &amp; Revenue'!U9=5,Assumptions!$C$30,IF('Traffic &amp; Revenue'!U9=10,Assumptions!$C$31,IF('Traffic &amp; Revenue'!U9=15,Assumptions!$C$32,0)))</f>
        <v>0</v>
      </c>
      <c r="V10" s="39" t="n">
        <f aca="false">IF('Traffic &amp; Revenue'!V9=5,Assumptions!$C$30,IF('Traffic &amp; Revenue'!V9=10,Assumptions!$C$31,IF('Traffic &amp; Revenue'!V9=15,Assumptions!$C$32,0)))</f>
        <v>0</v>
      </c>
    </row>
    <row r="11" customFormat="false" ht="15" hidden="false" customHeight="true" outlineLevel="0" collapsed="false">
      <c r="A11" s="41" t="s">
        <v>163</v>
      </c>
      <c r="C11" s="42" t="n">
        <f aca="false">C9+C10</f>
        <v>0</v>
      </c>
      <c r="D11" s="42" t="n">
        <f aca="false">D9+D10</f>
        <v>0</v>
      </c>
      <c r="E11" s="42" t="n">
        <f aca="false">E9+E10</f>
        <v>0</v>
      </c>
      <c r="F11" s="42" t="n">
        <f aca="false">F9+F10</f>
        <v>50.16</v>
      </c>
      <c r="G11" s="42" t="n">
        <f aca="false">G9+G10</f>
        <v>53.134488</v>
      </c>
      <c r="H11" s="42" t="n">
        <f aca="false">H9+H10</f>
        <v>56.2853631384</v>
      </c>
      <c r="I11" s="42" t="n">
        <f aca="false">I9+I10</f>
        <v>59.6230851725071</v>
      </c>
      <c r="J11" s="42" t="n">
        <f aca="false">J9+J10</f>
        <v>103.158734123237</v>
      </c>
      <c r="K11" s="42" t="n">
        <f aca="false">K9+K10</f>
        <v>66.9040470567447</v>
      </c>
      <c r="L11" s="42" t="n">
        <f aca="false">L9+L10</f>
        <v>70.8714570472097</v>
      </c>
      <c r="M11" s="42" t="n">
        <f aca="false">M9+M10</f>
        <v>75.0741344501092</v>
      </c>
      <c r="N11" s="42" t="n">
        <f aca="false">N9+N10</f>
        <v>79.5260306230007</v>
      </c>
      <c r="O11" s="42" t="n">
        <f aca="false">O9+O10</f>
        <v>174.241924238945</v>
      </c>
      <c r="P11" s="42" t="n">
        <f aca="false">P9+P10</f>
        <v>89.237470346314</v>
      </c>
      <c r="Q11" s="42" t="n">
        <f aca="false">Q9+Q10</f>
        <v>94.5292523378504</v>
      </c>
      <c r="R11" s="42" t="n">
        <f aca="false">R9+R10</f>
        <v>100.134837001485</v>
      </c>
      <c r="S11" s="42" t="n">
        <f aca="false">S9+S10</f>
        <v>106.072832835673</v>
      </c>
      <c r="T11" s="42" t="n">
        <f aca="false">T9+T10</f>
        <v>202.362951822828</v>
      </c>
      <c r="U11" s="42" t="n">
        <f aca="false">U9+U10</f>
        <v>119.026074865922</v>
      </c>
      <c r="V11" s="42" t="n">
        <f aca="false">V9+V10</f>
        <v>126.084321105471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164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165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166</v>
      </c>
    </row>
    <row r="9" customFormat="false" ht="15" hidden="false" customHeight="true" outlineLevel="0" collapsed="false">
      <c r="A9" s="36" t="s">
        <v>167</v>
      </c>
      <c r="C9" s="40" t="n">
        <v>0</v>
      </c>
      <c r="D9" s="40" t="n">
        <f aca="false">C13</f>
        <v>383.4</v>
      </c>
      <c r="E9" s="40" t="n">
        <f aca="false">D13</f>
        <v>894.6</v>
      </c>
      <c r="F9" s="40" t="n">
        <f aca="false">E13</f>
        <v>1278</v>
      </c>
      <c r="G9" s="40" t="n">
        <f aca="false">F13</f>
        <v>1171.5</v>
      </c>
      <c r="H9" s="40" t="n">
        <f aca="false">G13</f>
        <v>1065</v>
      </c>
      <c r="I9" s="40" t="n">
        <f aca="false">H13</f>
        <v>958.5</v>
      </c>
      <c r="J9" s="40" t="n">
        <f aca="false">I13</f>
        <v>852</v>
      </c>
      <c r="K9" s="40" t="n">
        <f aca="false">J13</f>
        <v>745.5</v>
      </c>
      <c r="L9" s="40" t="n">
        <f aca="false">K13</f>
        <v>639</v>
      </c>
      <c r="M9" s="40" t="n">
        <f aca="false">L13</f>
        <v>532.5</v>
      </c>
      <c r="N9" s="40" t="n">
        <f aca="false">M13</f>
        <v>426</v>
      </c>
      <c r="O9" s="40" t="n">
        <f aca="false">N13</f>
        <v>319.5</v>
      </c>
      <c r="P9" s="40" t="n">
        <f aca="false">O13</f>
        <v>213</v>
      </c>
      <c r="Q9" s="40" t="n">
        <f aca="false">P13</f>
        <v>106.5</v>
      </c>
      <c r="R9" s="40" t="n">
        <f aca="false">Q13</f>
        <v>0</v>
      </c>
      <c r="S9" s="40" t="n">
        <f aca="false">R13</f>
        <v>0</v>
      </c>
      <c r="T9" s="40" t="n">
        <f aca="false">S13</f>
        <v>0</v>
      </c>
      <c r="U9" s="40" t="n">
        <f aca="false">T13</f>
        <v>0</v>
      </c>
      <c r="V9" s="40" t="n">
        <f aca="false">U13</f>
        <v>0</v>
      </c>
    </row>
    <row r="10" customFormat="false" ht="15" hidden="false" customHeight="true" outlineLevel="0" collapsed="false">
      <c r="A10" s="36" t="s">
        <v>168</v>
      </c>
      <c r="C10" s="39" t="n">
        <f aca="false">'Construction &amp; Capex'!C13</f>
        <v>383.4</v>
      </c>
      <c r="D10" s="39" t="n">
        <f aca="false">'Construction &amp; Capex'!D13</f>
        <v>511.2</v>
      </c>
      <c r="E10" s="39" t="n">
        <f aca="false">'Construction &amp; Capex'!E13</f>
        <v>383.4</v>
      </c>
      <c r="F10" s="39" t="n">
        <f aca="false">'Construction &amp; Capex'!F13</f>
        <v>0</v>
      </c>
      <c r="G10" s="39" t="n">
        <f aca="false">'Construction &amp; Capex'!G13</f>
        <v>0</v>
      </c>
      <c r="H10" s="39" t="n">
        <f aca="false">'Construction &amp; Capex'!H13</f>
        <v>0</v>
      </c>
      <c r="I10" s="39" t="n">
        <f aca="false">'Construction &amp; Capex'!I13</f>
        <v>0</v>
      </c>
      <c r="J10" s="39" t="n">
        <f aca="false">'Construction &amp; Capex'!J13</f>
        <v>0</v>
      </c>
      <c r="K10" s="39" t="n">
        <f aca="false">'Construction &amp; Capex'!K13</f>
        <v>0</v>
      </c>
      <c r="L10" s="39" t="n">
        <f aca="false">'Construction &amp; Capex'!L13</f>
        <v>0</v>
      </c>
      <c r="M10" s="39" t="n">
        <f aca="false">'Construction &amp; Capex'!M13</f>
        <v>0</v>
      </c>
      <c r="N10" s="39" t="n">
        <f aca="false">'Construction &amp; Capex'!N13</f>
        <v>0</v>
      </c>
      <c r="O10" s="39" t="n">
        <f aca="false">'Construction &amp; Capex'!O13</f>
        <v>0</v>
      </c>
      <c r="P10" s="39" t="n">
        <f aca="false">'Construction &amp; Capex'!P13</f>
        <v>0</v>
      </c>
      <c r="Q10" s="39" t="n">
        <f aca="false">'Construction &amp; Capex'!Q13</f>
        <v>0</v>
      </c>
      <c r="R10" s="39" t="n">
        <f aca="false">'Construction &amp; Capex'!R13</f>
        <v>0</v>
      </c>
      <c r="S10" s="39" t="n">
        <f aca="false">'Construction &amp; Capex'!S13</f>
        <v>0</v>
      </c>
      <c r="T10" s="39" t="n">
        <f aca="false">'Construction &amp; Capex'!T13</f>
        <v>0</v>
      </c>
      <c r="U10" s="39" t="n">
        <f aca="false">'Construction &amp; Capex'!U13</f>
        <v>0</v>
      </c>
      <c r="V10" s="39" t="n">
        <f aca="false">'Construction &amp; Capex'!V13</f>
        <v>0</v>
      </c>
    </row>
    <row r="11" customFormat="false" ht="15" hidden="false" customHeight="true" outlineLevel="0" collapsed="false">
      <c r="A11" s="36" t="s">
        <v>169</v>
      </c>
      <c r="C11" s="40" t="n">
        <f aca="false">IF('Traffic &amp; Revenue'!C9&gt;=1,C9*Assumptions!$C$22,0)</f>
        <v>0</v>
      </c>
      <c r="D11" s="40" t="n">
        <f aca="false">IF('Traffic &amp; Revenue'!D9&gt;=1,D9*Assumptions!$C$22,0)</f>
        <v>0</v>
      </c>
      <c r="E11" s="40" t="n">
        <f aca="false">IF('Traffic &amp; Revenue'!E9&gt;=1,E9*Assumptions!$C$22,0)</f>
        <v>0</v>
      </c>
      <c r="F11" s="40" t="n">
        <f aca="false">IF('Traffic &amp; Revenue'!F9&gt;=1,F9*Assumptions!$C$22,0)</f>
        <v>121.41</v>
      </c>
      <c r="G11" s="40" t="n">
        <f aca="false">IF('Traffic &amp; Revenue'!G9&gt;=1,G9*Assumptions!$C$22,0)</f>
        <v>111.2925</v>
      </c>
      <c r="H11" s="40" t="n">
        <f aca="false">IF('Traffic &amp; Revenue'!H9&gt;=1,H9*Assumptions!$C$22,0)</f>
        <v>101.175</v>
      </c>
      <c r="I11" s="40" t="n">
        <f aca="false">IF('Traffic &amp; Revenue'!I9&gt;=1,I9*Assumptions!$C$22,0)</f>
        <v>91.0575</v>
      </c>
      <c r="J11" s="40" t="n">
        <f aca="false">IF('Traffic &amp; Revenue'!J9&gt;=1,J9*Assumptions!$C$22,0)</f>
        <v>80.94</v>
      </c>
      <c r="K11" s="40" t="n">
        <f aca="false">IF('Traffic &amp; Revenue'!K9&gt;=1,K9*Assumptions!$C$22,0)</f>
        <v>70.8225</v>
      </c>
      <c r="L11" s="40" t="n">
        <f aca="false">IF('Traffic &amp; Revenue'!L9&gt;=1,L9*Assumptions!$C$22,0)</f>
        <v>60.705</v>
      </c>
      <c r="M11" s="40" t="n">
        <f aca="false">IF('Traffic &amp; Revenue'!M9&gt;=1,M9*Assumptions!$C$22,0)</f>
        <v>50.5875</v>
      </c>
      <c r="N11" s="40" t="n">
        <f aca="false">IF('Traffic &amp; Revenue'!N9&gt;=1,N9*Assumptions!$C$22,0)</f>
        <v>40.47</v>
      </c>
      <c r="O11" s="40" t="n">
        <f aca="false">IF('Traffic &amp; Revenue'!O9&gt;=1,O9*Assumptions!$C$22,0)</f>
        <v>30.3525</v>
      </c>
      <c r="P11" s="40" t="n">
        <f aca="false">IF('Traffic &amp; Revenue'!P9&gt;=1,P9*Assumptions!$C$22,0)</f>
        <v>20.235</v>
      </c>
      <c r="Q11" s="40" t="n">
        <f aca="false">IF('Traffic &amp; Revenue'!Q9&gt;=1,Q9*Assumptions!$C$22,0)</f>
        <v>10.1175</v>
      </c>
      <c r="R11" s="40" t="n">
        <f aca="false">IF('Traffic &amp; Revenue'!R9&gt;=1,R9*Assumptions!$C$22,0)</f>
        <v>0</v>
      </c>
      <c r="S11" s="40" t="n">
        <f aca="false">IF('Traffic &amp; Revenue'!S9&gt;=1,S9*Assumptions!$C$22,0)</f>
        <v>0</v>
      </c>
      <c r="T11" s="40" t="n">
        <f aca="false">IF('Traffic &amp; Revenue'!T9&gt;=1,T9*Assumptions!$C$22,0)</f>
        <v>0</v>
      </c>
      <c r="U11" s="40" t="n">
        <f aca="false">IF('Traffic &amp; Revenue'!U9&gt;=1,U9*Assumptions!$C$22,0)</f>
        <v>0</v>
      </c>
      <c r="V11" s="40" t="n">
        <f aca="false">IF('Traffic &amp; Revenue'!V9&gt;=1,V9*Assumptions!$C$22,0)</f>
        <v>0</v>
      </c>
    </row>
    <row r="12" customFormat="false" ht="15" hidden="false" customHeight="true" outlineLevel="0" collapsed="false">
      <c r="A12" s="36" t="s">
        <v>170</v>
      </c>
      <c r="C12" s="40" t="n">
        <f aca="false">IF(AND('Traffic &amp; Revenue'!C9&gt;=1,'Traffic &amp; Revenue'!C9&lt;=Assumptions!$C$23),MIN(Assumptions!$C$19/Assumptions!$C$23,C9),0)</f>
        <v>0</v>
      </c>
      <c r="D12" s="40" t="n">
        <f aca="false">IF(AND('Traffic &amp; Revenue'!D9&gt;=1,'Traffic &amp; Revenue'!D9&lt;=Assumptions!$C$23),MIN(Assumptions!$C$19/Assumptions!$C$23,D9),0)</f>
        <v>0</v>
      </c>
      <c r="E12" s="40" t="n">
        <f aca="false">IF(AND('Traffic &amp; Revenue'!E9&gt;=1,'Traffic &amp; Revenue'!E9&lt;=Assumptions!$C$23),MIN(Assumptions!$C$19/Assumptions!$C$23,E9),0)</f>
        <v>0</v>
      </c>
      <c r="F12" s="40" t="n">
        <f aca="false">IF(AND('Traffic &amp; Revenue'!F9&gt;=1,'Traffic &amp; Revenue'!F9&lt;=Assumptions!$C$23),MIN(Assumptions!$C$19/Assumptions!$C$23,F9),0)</f>
        <v>106.5</v>
      </c>
      <c r="G12" s="40" t="n">
        <f aca="false">IF(AND('Traffic &amp; Revenue'!G9&gt;=1,'Traffic &amp; Revenue'!G9&lt;=Assumptions!$C$23),MIN(Assumptions!$C$19/Assumptions!$C$23,G9),0)</f>
        <v>106.5</v>
      </c>
      <c r="H12" s="40" t="n">
        <f aca="false">IF(AND('Traffic &amp; Revenue'!H9&gt;=1,'Traffic &amp; Revenue'!H9&lt;=Assumptions!$C$23),MIN(Assumptions!$C$19/Assumptions!$C$23,H9),0)</f>
        <v>106.5</v>
      </c>
      <c r="I12" s="40" t="n">
        <f aca="false">IF(AND('Traffic &amp; Revenue'!I9&gt;=1,'Traffic &amp; Revenue'!I9&lt;=Assumptions!$C$23),MIN(Assumptions!$C$19/Assumptions!$C$23,I9),0)</f>
        <v>106.5</v>
      </c>
      <c r="J12" s="40" t="n">
        <f aca="false">IF(AND('Traffic &amp; Revenue'!J9&gt;=1,'Traffic &amp; Revenue'!J9&lt;=Assumptions!$C$23),MIN(Assumptions!$C$19/Assumptions!$C$23,J9),0)</f>
        <v>106.5</v>
      </c>
      <c r="K12" s="40" t="n">
        <f aca="false">IF(AND('Traffic &amp; Revenue'!K9&gt;=1,'Traffic &amp; Revenue'!K9&lt;=Assumptions!$C$23),MIN(Assumptions!$C$19/Assumptions!$C$23,K9),0)</f>
        <v>106.5</v>
      </c>
      <c r="L12" s="40" t="n">
        <f aca="false">IF(AND('Traffic &amp; Revenue'!L9&gt;=1,'Traffic &amp; Revenue'!L9&lt;=Assumptions!$C$23),MIN(Assumptions!$C$19/Assumptions!$C$23,L9),0)</f>
        <v>106.5</v>
      </c>
      <c r="M12" s="40" t="n">
        <f aca="false">IF(AND('Traffic &amp; Revenue'!M9&gt;=1,'Traffic &amp; Revenue'!M9&lt;=Assumptions!$C$23),MIN(Assumptions!$C$19/Assumptions!$C$23,M9),0)</f>
        <v>106.5</v>
      </c>
      <c r="N12" s="40" t="n">
        <f aca="false">IF(AND('Traffic &amp; Revenue'!N9&gt;=1,'Traffic &amp; Revenue'!N9&lt;=Assumptions!$C$23),MIN(Assumptions!$C$19/Assumptions!$C$23,N9),0)</f>
        <v>106.5</v>
      </c>
      <c r="O12" s="40" t="n">
        <f aca="false">IF(AND('Traffic &amp; Revenue'!O9&gt;=1,'Traffic &amp; Revenue'!O9&lt;=Assumptions!$C$23),MIN(Assumptions!$C$19/Assumptions!$C$23,O9),0)</f>
        <v>106.5</v>
      </c>
      <c r="P12" s="40" t="n">
        <f aca="false">IF(AND('Traffic &amp; Revenue'!P9&gt;=1,'Traffic &amp; Revenue'!P9&lt;=Assumptions!$C$23),MIN(Assumptions!$C$19/Assumptions!$C$23,P9),0)</f>
        <v>106.5</v>
      </c>
      <c r="Q12" s="40" t="n">
        <f aca="false">IF(AND('Traffic &amp; Revenue'!Q9&gt;=1,'Traffic &amp; Revenue'!Q9&lt;=Assumptions!$C$23),MIN(Assumptions!$C$19/Assumptions!$C$23,Q9),0)</f>
        <v>106.5</v>
      </c>
      <c r="R12" s="40" t="n">
        <f aca="false">IF(AND('Traffic &amp; Revenue'!R9&gt;=1,'Traffic &amp; Revenue'!R9&lt;=Assumptions!$C$23),MIN(Assumptions!$C$19/Assumptions!$C$23,R9),0)</f>
        <v>0</v>
      </c>
      <c r="S12" s="40" t="n">
        <f aca="false">IF(AND('Traffic &amp; Revenue'!S9&gt;=1,'Traffic &amp; Revenue'!S9&lt;=Assumptions!$C$23),MIN(Assumptions!$C$19/Assumptions!$C$23,S9),0)</f>
        <v>0</v>
      </c>
      <c r="T12" s="40" t="n">
        <f aca="false">IF(AND('Traffic &amp; Revenue'!T9&gt;=1,'Traffic &amp; Revenue'!T9&lt;=Assumptions!$C$23),MIN(Assumptions!$C$19/Assumptions!$C$23,T9),0)</f>
        <v>0</v>
      </c>
      <c r="U12" s="40" t="n">
        <f aca="false">IF(AND('Traffic &amp; Revenue'!U9&gt;=1,'Traffic &amp; Revenue'!U9&lt;=Assumptions!$C$23),MIN(Assumptions!$C$19/Assumptions!$C$23,U9),0)</f>
        <v>0</v>
      </c>
      <c r="V12" s="40" t="n">
        <f aca="false">IF(AND('Traffic &amp; Revenue'!V9&gt;=1,'Traffic &amp; Revenue'!V9&lt;=Assumptions!$C$23),MIN(Assumptions!$C$19/Assumptions!$C$23,V9),0)</f>
        <v>0</v>
      </c>
    </row>
    <row r="13" customFormat="false" ht="15" hidden="false" customHeight="true" outlineLevel="0" collapsed="false">
      <c r="A13" s="41" t="s">
        <v>171</v>
      </c>
      <c r="C13" s="42" t="n">
        <f aca="false">C9+C10-C12</f>
        <v>383.4</v>
      </c>
      <c r="D13" s="42" t="n">
        <f aca="false">D9+D10-D12</f>
        <v>894.6</v>
      </c>
      <c r="E13" s="42" t="n">
        <f aca="false">E9+E10-E12</f>
        <v>1278</v>
      </c>
      <c r="F13" s="42" t="n">
        <f aca="false">F9+F10-F12</f>
        <v>1171.5</v>
      </c>
      <c r="G13" s="42" t="n">
        <f aca="false">G9+G10-G12</f>
        <v>1065</v>
      </c>
      <c r="H13" s="42" t="n">
        <f aca="false">H9+H10-H12</f>
        <v>958.5</v>
      </c>
      <c r="I13" s="42" t="n">
        <f aca="false">I9+I10-I12</f>
        <v>852</v>
      </c>
      <c r="J13" s="42" t="n">
        <f aca="false">J9+J10-J12</f>
        <v>745.5</v>
      </c>
      <c r="K13" s="42" t="n">
        <f aca="false">K9+K10-K12</f>
        <v>639</v>
      </c>
      <c r="L13" s="42" t="n">
        <f aca="false">L9+L10-L12</f>
        <v>532.5</v>
      </c>
      <c r="M13" s="42" t="n">
        <f aca="false">M9+M10-M12</f>
        <v>426</v>
      </c>
      <c r="N13" s="42" t="n">
        <f aca="false">N9+N10-N12</f>
        <v>319.5</v>
      </c>
      <c r="O13" s="42" t="n">
        <f aca="false">O9+O10-O12</f>
        <v>213</v>
      </c>
      <c r="P13" s="42" t="n">
        <f aca="false">P9+P10-P12</f>
        <v>106.5</v>
      </c>
      <c r="Q13" s="42" t="n">
        <f aca="false">Q9+Q10-Q12</f>
        <v>0</v>
      </c>
      <c r="R13" s="42" t="n">
        <f aca="false">R9+R10-R12</f>
        <v>0</v>
      </c>
      <c r="S13" s="42" t="n">
        <f aca="false">S9+S10-S12</f>
        <v>0</v>
      </c>
      <c r="T13" s="42" t="n">
        <f aca="false">T9+T10-T12</f>
        <v>0</v>
      </c>
      <c r="U13" s="42" t="n">
        <f aca="false">U9+U10-U12</f>
        <v>0</v>
      </c>
      <c r="V13" s="42" t="n">
        <f aca="false">V9+V10-V12</f>
        <v>0</v>
      </c>
    </row>
    <row r="15" customFormat="false" ht="15" hidden="false" customHeight="true" outlineLevel="0" collapsed="false">
      <c r="A15" s="36" t="s">
        <v>172</v>
      </c>
      <c r="C15" s="40" t="n">
        <f aca="false">C11+C12</f>
        <v>0</v>
      </c>
      <c r="D15" s="40" t="n">
        <f aca="false">D11+D12</f>
        <v>0</v>
      </c>
      <c r="E15" s="40" t="n">
        <f aca="false">E11+E12</f>
        <v>0</v>
      </c>
      <c r="F15" s="40" t="n">
        <f aca="false">F11+F12</f>
        <v>227.91</v>
      </c>
      <c r="G15" s="40" t="n">
        <f aca="false">G11+G12</f>
        <v>217.7925</v>
      </c>
      <c r="H15" s="40" t="n">
        <f aca="false">H11+H12</f>
        <v>207.675</v>
      </c>
      <c r="I15" s="40" t="n">
        <f aca="false">I11+I12</f>
        <v>197.5575</v>
      </c>
      <c r="J15" s="40" t="n">
        <f aca="false">J11+J12</f>
        <v>187.44</v>
      </c>
      <c r="K15" s="40" t="n">
        <f aca="false">K11+K12</f>
        <v>177.3225</v>
      </c>
      <c r="L15" s="40" t="n">
        <f aca="false">L11+L12</f>
        <v>167.205</v>
      </c>
      <c r="M15" s="40" t="n">
        <f aca="false">M11+M12</f>
        <v>157.0875</v>
      </c>
      <c r="N15" s="40" t="n">
        <f aca="false">N11+N12</f>
        <v>146.97</v>
      </c>
      <c r="O15" s="40" t="n">
        <f aca="false">O11+O12</f>
        <v>136.8525</v>
      </c>
      <c r="P15" s="40" t="n">
        <f aca="false">P11+P12</f>
        <v>126.735</v>
      </c>
      <c r="Q15" s="40" t="n">
        <f aca="false">Q11+Q12</f>
        <v>116.6175</v>
      </c>
      <c r="R15" s="40" t="n">
        <f aca="false">R11+R12</f>
        <v>0</v>
      </c>
      <c r="S15" s="40" t="n">
        <f aca="false">S11+S12</f>
        <v>0</v>
      </c>
      <c r="T15" s="40" t="n">
        <f aca="false">T11+T12</f>
        <v>0</v>
      </c>
      <c r="U15" s="40" t="n">
        <f aca="false">U11+U12</f>
        <v>0</v>
      </c>
      <c r="V15" s="40" t="n">
        <f aca="false">V11+V12</f>
        <v>0</v>
      </c>
    </row>
    <row r="17" customFormat="false" ht="15" hidden="false" customHeight="true" outlineLevel="0" collapsed="false">
      <c r="A17" s="15" t="s">
        <v>173</v>
      </c>
      <c r="C17" s="40" t="n">
        <f aca="false">SUM(C10:V10)</f>
        <v>1278</v>
      </c>
      <c r="E17" s="15" t="str">
        <f aca="false">IF(ABS(C17-Assumptions!$C$19)&lt;0.01,"OK","ERR")</f>
        <v>OK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174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175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176</v>
      </c>
    </row>
    <row r="9" customFormat="false" ht="15" hidden="false" customHeight="true" outlineLevel="0" collapsed="false">
      <c r="A9" s="36" t="s">
        <v>156</v>
      </c>
      <c r="C9" s="39" t="n">
        <f aca="false">'Traffic &amp; Revenue'!C12</f>
        <v>0</v>
      </c>
      <c r="D9" s="39" t="n">
        <f aca="false">'Traffic &amp; Revenue'!D12</f>
        <v>0</v>
      </c>
      <c r="E9" s="39" t="n">
        <f aca="false">'Traffic &amp; Revenue'!E12</f>
        <v>0</v>
      </c>
      <c r="F9" s="39" t="n">
        <f aca="false">'Traffic &amp; Revenue'!F12</f>
        <v>304</v>
      </c>
      <c r="G9" s="39" t="n">
        <f aca="false">'Traffic &amp; Revenue'!G12</f>
        <v>322.0272</v>
      </c>
      <c r="H9" s="39" t="n">
        <f aca="false">'Traffic &amp; Revenue'!H12</f>
        <v>341.12341296</v>
      </c>
      <c r="I9" s="39" t="n">
        <f aca="false">'Traffic &amp; Revenue'!I12</f>
        <v>361.352031348528</v>
      </c>
      <c r="J9" s="39" t="n">
        <f aca="false">'Traffic &amp; Revenue'!J12</f>
        <v>382.780206807496</v>
      </c>
      <c r="K9" s="39" t="n">
        <f aca="false">'Traffic &amp; Revenue'!K12</f>
        <v>405.47907307118</v>
      </c>
      <c r="L9" s="39" t="n">
        <f aca="false">'Traffic &amp; Revenue'!L12</f>
        <v>429.523982104301</v>
      </c>
      <c r="M9" s="39" t="n">
        <f aca="false">'Traffic &amp; Revenue'!M12</f>
        <v>454.994754243086</v>
      </c>
      <c r="N9" s="39" t="n">
        <f aca="false">'Traffic &amp; Revenue'!N12</f>
        <v>481.975943169701</v>
      </c>
      <c r="O9" s="39" t="n">
        <f aca="false">'Traffic &amp; Revenue'!O12</f>
        <v>510.557116599664</v>
      </c>
      <c r="P9" s="39" t="n">
        <f aca="false">'Traffic &amp; Revenue'!P12</f>
        <v>540.833153614024</v>
      </c>
      <c r="Q9" s="39" t="n">
        <f aca="false">'Traffic &amp; Revenue'!Q12</f>
        <v>572.904559623336</v>
      </c>
      <c r="R9" s="39" t="n">
        <f aca="false">'Traffic &amp; Revenue'!R12</f>
        <v>606.877800009</v>
      </c>
      <c r="S9" s="39" t="n">
        <f aca="false">'Traffic &amp; Revenue'!S12</f>
        <v>642.865653549533</v>
      </c>
      <c r="T9" s="39" t="n">
        <f aca="false">'Traffic &amp; Revenue'!T12</f>
        <v>680.98758680502</v>
      </c>
      <c r="U9" s="39" t="n">
        <f aca="false">'Traffic &amp; Revenue'!U12</f>
        <v>721.370150702558</v>
      </c>
      <c r="V9" s="39" t="n">
        <f aca="false">'Traffic &amp; Revenue'!V12</f>
        <v>764.14740063922</v>
      </c>
    </row>
    <row r="10" customFormat="false" ht="15" hidden="false" customHeight="true" outlineLevel="0" collapsed="false">
      <c r="A10" s="36" t="s">
        <v>177</v>
      </c>
      <c r="C10" s="39" t="n">
        <f aca="false">-Opex!C9</f>
        <v>-0</v>
      </c>
      <c r="D10" s="39" t="n">
        <f aca="false">-Opex!D9</f>
        <v>-0</v>
      </c>
      <c r="E10" s="39" t="n">
        <f aca="false">-Opex!E9</f>
        <v>-0</v>
      </c>
      <c r="F10" s="39" t="n">
        <f aca="false">-Opex!F9</f>
        <v>-50.16</v>
      </c>
      <c r="G10" s="39" t="n">
        <f aca="false">-Opex!G9</f>
        <v>-53.134488</v>
      </c>
      <c r="H10" s="39" t="n">
        <f aca="false">-Opex!H9</f>
        <v>-56.2853631384</v>
      </c>
      <c r="I10" s="39" t="n">
        <f aca="false">-Opex!I9</f>
        <v>-59.6230851725071</v>
      </c>
      <c r="J10" s="39" t="n">
        <f aca="false">-Opex!J9</f>
        <v>-63.1587341232368</v>
      </c>
      <c r="K10" s="39" t="n">
        <f aca="false">-Opex!K9</f>
        <v>-66.9040470567447</v>
      </c>
      <c r="L10" s="39" t="n">
        <f aca="false">-Opex!L9</f>
        <v>-70.8714570472097</v>
      </c>
      <c r="M10" s="39" t="n">
        <f aca="false">-Opex!M9</f>
        <v>-75.0741344501092</v>
      </c>
      <c r="N10" s="39" t="n">
        <f aca="false">-Opex!N9</f>
        <v>-79.5260306230007</v>
      </c>
      <c r="O10" s="39" t="n">
        <f aca="false">-Opex!O9</f>
        <v>-84.2419242389446</v>
      </c>
      <c r="P10" s="39" t="n">
        <f aca="false">-Opex!P9</f>
        <v>-89.237470346314</v>
      </c>
      <c r="Q10" s="39" t="n">
        <f aca="false">-Opex!Q9</f>
        <v>-94.5292523378504</v>
      </c>
      <c r="R10" s="39" t="n">
        <f aca="false">-Opex!R9</f>
        <v>-100.134837001485</v>
      </c>
      <c r="S10" s="39" t="n">
        <f aca="false">-Opex!S9</f>
        <v>-106.072832835673</v>
      </c>
      <c r="T10" s="39" t="n">
        <f aca="false">-Opex!T9</f>
        <v>-112.362951822828</v>
      </c>
      <c r="U10" s="39" t="n">
        <f aca="false">-Opex!U9</f>
        <v>-119.026074865922</v>
      </c>
      <c r="V10" s="39" t="n">
        <f aca="false">-Opex!V9</f>
        <v>-126.084321105471</v>
      </c>
    </row>
    <row r="11" customFormat="false" ht="15" hidden="false" customHeight="true" outlineLevel="0" collapsed="false">
      <c r="A11" s="36" t="s">
        <v>178</v>
      </c>
      <c r="C11" s="39" t="n">
        <f aca="false">-Opex!C10</f>
        <v>-0</v>
      </c>
      <c r="D11" s="39" t="n">
        <f aca="false">-Opex!D10</f>
        <v>-0</v>
      </c>
      <c r="E11" s="39" t="n">
        <f aca="false">-Opex!E10</f>
        <v>-0</v>
      </c>
      <c r="F11" s="39" t="n">
        <f aca="false">-Opex!F10</f>
        <v>-0</v>
      </c>
      <c r="G11" s="39" t="n">
        <f aca="false">-Opex!G10</f>
        <v>-0</v>
      </c>
      <c r="H11" s="39" t="n">
        <f aca="false">-Opex!H10</f>
        <v>-0</v>
      </c>
      <c r="I11" s="39" t="n">
        <f aca="false">-Opex!I10</f>
        <v>-0</v>
      </c>
      <c r="J11" s="39" t="n">
        <f aca="false">-Opex!J10</f>
        <v>-40</v>
      </c>
      <c r="K11" s="39" t="n">
        <f aca="false">-Opex!K10</f>
        <v>-0</v>
      </c>
      <c r="L11" s="39" t="n">
        <f aca="false">-Opex!L10</f>
        <v>-0</v>
      </c>
      <c r="M11" s="39" t="n">
        <f aca="false">-Opex!M10</f>
        <v>-0</v>
      </c>
      <c r="N11" s="39" t="n">
        <f aca="false">-Opex!N10</f>
        <v>-0</v>
      </c>
      <c r="O11" s="39" t="n">
        <f aca="false">-Opex!O10</f>
        <v>-90</v>
      </c>
      <c r="P11" s="39" t="n">
        <f aca="false">-Opex!P10</f>
        <v>-0</v>
      </c>
      <c r="Q11" s="39" t="n">
        <f aca="false">-Opex!Q10</f>
        <v>-0</v>
      </c>
      <c r="R11" s="39" t="n">
        <f aca="false">-Opex!R10</f>
        <v>-0</v>
      </c>
      <c r="S11" s="39" t="n">
        <f aca="false">-Opex!S10</f>
        <v>-0</v>
      </c>
      <c r="T11" s="39" t="n">
        <f aca="false">-Opex!T10</f>
        <v>-90</v>
      </c>
      <c r="U11" s="39" t="n">
        <f aca="false">-Opex!U10</f>
        <v>-0</v>
      </c>
      <c r="V11" s="39" t="n">
        <f aca="false">-Opex!V10</f>
        <v>-0</v>
      </c>
    </row>
    <row r="12" customFormat="false" ht="15" hidden="false" customHeight="true" outlineLevel="0" collapsed="false">
      <c r="A12" s="41" t="s">
        <v>179</v>
      </c>
      <c r="C12" s="44" t="n">
        <f aca="false">C9+C10+C11</f>
        <v>0</v>
      </c>
      <c r="D12" s="44" t="n">
        <f aca="false">D9+D10+D11</f>
        <v>0</v>
      </c>
      <c r="E12" s="44" t="n">
        <f aca="false">E9+E10+E11</f>
        <v>0</v>
      </c>
      <c r="F12" s="44" t="n">
        <f aca="false">F9+F10+F11</f>
        <v>253.84</v>
      </c>
      <c r="G12" s="44" t="n">
        <f aca="false">G9+G10+G11</f>
        <v>268.892712</v>
      </c>
      <c r="H12" s="44" t="n">
        <f aca="false">H9+H10+H11</f>
        <v>284.8380498216</v>
      </c>
      <c r="I12" s="44" t="n">
        <f aca="false">I9+I10+I11</f>
        <v>301.728946176021</v>
      </c>
      <c r="J12" s="44" t="n">
        <f aca="false">J9+J10+J11</f>
        <v>279.621472684259</v>
      </c>
      <c r="K12" s="44" t="n">
        <f aca="false">K9+K10+K11</f>
        <v>338.575026014435</v>
      </c>
      <c r="L12" s="44" t="n">
        <f aca="false">L9+L10+L11</f>
        <v>358.652525057091</v>
      </c>
      <c r="M12" s="44" t="n">
        <f aca="false">M9+M10+M11</f>
        <v>379.920619792977</v>
      </c>
      <c r="N12" s="44" t="n">
        <f aca="false">N9+N10+N11</f>
        <v>402.4499125467</v>
      </c>
      <c r="O12" s="44" t="n">
        <f aca="false">O9+O10+O11</f>
        <v>336.31519236072</v>
      </c>
      <c r="P12" s="44" t="n">
        <f aca="false">P9+P10+P11</f>
        <v>451.59568326771</v>
      </c>
      <c r="Q12" s="44" t="n">
        <f aca="false">Q9+Q10+Q11</f>
        <v>478.375307285485</v>
      </c>
      <c r="R12" s="44" t="n">
        <f aca="false">R9+R10+R11</f>
        <v>506.742963007515</v>
      </c>
      <c r="S12" s="44" t="n">
        <f aca="false">S9+S10+S11</f>
        <v>536.79282071386</v>
      </c>
      <c r="T12" s="44" t="n">
        <f aca="false">T9+T10+T11</f>
        <v>478.624634982192</v>
      </c>
      <c r="U12" s="44" t="n">
        <f aca="false">U9+U10+U11</f>
        <v>602.344075836636</v>
      </c>
      <c r="V12" s="44" t="n">
        <f aca="false">V9+V10+V11</f>
        <v>638.063079533749</v>
      </c>
    </row>
    <row r="13" customFormat="false" ht="15" hidden="false" customHeight="true" outlineLevel="0" collapsed="false">
      <c r="A13" s="36" t="s">
        <v>180</v>
      </c>
      <c r="C13" s="40" t="n">
        <f aca="false">-(IF('Traffic &amp; Revenue'!C9&gt;=1,Assumptions!$C$12/Assumptions!$C$34,0))</f>
        <v>-0</v>
      </c>
      <c r="D13" s="40" t="n">
        <f aca="false">-(IF('Traffic &amp; Revenue'!D9&gt;=1,Assumptions!$C$12/Assumptions!$C$34,0))</f>
        <v>-0</v>
      </c>
      <c r="E13" s="40" t="n">
        <f aca="false">-(IF('Traffic &amp; Revenue'!E9&gt;=1,Assumptions!$C$12/Assumptions!$C$34,0))</f>
        <v>-0</v>
      </c>
      <c r="F13" s="40" t="n">
        <f aca="false">-(IF('Traffic &amp; Revenue'!F9&gt;=1,Assumptions!$C$12/Assumptions!$C$34,0))</f>
        <v>-105.882352941176</v>
      </c>
      <c r="G13" s="40" t="n">
        <f aca="false">-(IF('Traffic &amp; Revenue'!G9&gt;=1,Assumptions!$C$12/Assumptions!$C$34,0))</f>
        <v>-105.882352941176</v>
      </c>
      <c r="H13" s="40" t="n">
        <f aca="false">-(IF('Traffic &amp; Revenue'!H9&gt;=1,Assumptions!$C$12/Assumptions!$C$34,0))</f>
        <v>-105.882352941176</v>
      </c>
      <c r="I13" s="40" t="n">
        <f aca="false">-(IF('Traffic &amp; Revenue'!I9&gt;=1,Assumptions!$C$12/Assumptions!$C$34,0))</f>
        <v>-105.882352941176</v>
      </c>
      <c r="J13" s="40" t="n">
        <f aca="false">-(IF('Traffic &amp; Revenue'!J9&gt;=1,Assumptions!$C$12/Assumptions!$C$34,0))</f>
        <v>-105.882352941176</v>
      </c>
      <c r="K13" s="40" t="n">
        <f aca="false">-(IF('Traffic &amp; Revenue'!K9&gt;=1,Assumptions!$C$12/Assumptions!$C$34,0))</f>
        <v>-105.882352941176</v>
      </c>
      <c r="L13" s="40" t="n">
        <f aca="false">-(IF('Traffic &amp; Revenue'!L9&gt;=1,Assumptions!$C$12/Assumptions!$C$34,0))</f>
        <v>-105.882352941176</v>
      </c>
      <c r="M13" s="40" t="n">
        <f aca="false">-(IF('Traffic &amp; Revenue'!M9&gt;=1,Assumptions!$C$12/Assumptions!$C$34,0))</f>
        <v>-105.882352941176</v>
      </c>
      <c r="N13" s="40" t="n">
        <f aca="false">-(IF('Traffic &amp; Revenue'!N9&gt;=1,Assumptions!$C$12/Assumptions!$C$34,0))</f>
        <v>-105.882352941176</v>
      </c>
      <c r="O13" s="40" t="n">
        <f aca="false">-(IF('Traffic &amp; Revenue'!O9&gt;=1,Assumptions!$C$12/Assumptions!$C$34,0))</f>
        <v>-105.882352941176</v>
      </c>
      <c r="P13" s="40" t="n">
        <f aca="false">-(IF('Traffic &amp; Revenue'!P9&gt;=1,Assumptions!$C$12/Assumptions!$C$34,0))</f>
        <v>-105.882352941176</v>
      </c>
      <c r="Q13" s="40" t="n">
        <f aca="false">-(IF('Traffic &amp; Revenue'!Q9&gt;=1,Assumptions!$C$12/Assumptions!$C$34,0))</f>
        <v>-105.882352941176</v>
      </c>
      <c r="R13" s="40" t="n">
        <f aca="false">-(IF('Traffic &amp; Revenue'!R9&gt;=1,Assumptions!$C$12/Assumptions!$C$34,0))</f>
        <v>-105.882352941176</v>
      </c>
      <c r="S13" s="40" t="n">
        <f aca="false">-(IF('Traffic &amp; Revenue'!S9&gt;=1,Assumptions!$C$12/Assumptions!$C$34,0))</f>
        <v>-105.882352941176</v>
      </c>
      <c r="T13" s="40" t="n">
        <f aca="false">-(IF('Traffic &amp; Revenue'!T9&gt;=1,Assumptions!$C$12/Assumptions!$C$34,0))</f>
        <v>-105.882352941176</v>
      </c>
      <c r="U13" s="40" t="n">
        <f aca="false">-(IF('Traffic &amp; Revenue'!U9&gt;=1,Assumptions!$C$12/Assumptions!$C$34,0))</f>
        <v>-105.882352941176</v>
      </c>
      <c r="V13" s="40" t="n">
        <f aca="false">-(IF('Traffic &amp; Revenue'!V9&gt;=1,Assumptions!$C$12/Assumptions!$C$34,0))</f>
        <v>-105.882352941176</v>
      </c>
    </row>
    <row r="14" customFormat="false" ht="15" hidden="false" customHeight="true" outlineLevel="0" collapsed="false">
      <c r="A14" s="41" t="s">
        <v>181</v>
      </c>
      <c r="C14" s="45" t="n">
        <f aca="false">C12+C13</f>
        <v>0</v>
      </c>
      <c r="D14" s="45" t="n">
        <f aca="false">D12+D13</f>
        <v>0</v>
      </c>
      <c r="E14" s="45" t="n">
        <f aca="false">E12+E13</f>
        <v>0</v>
      </c>
      <c r="F14" s="45" t="n">
        <f aca="false">F12+F13</f>
        <v>147.957647058824</v>
      </c>
      <c r="G14" s="45" t="n">
        <f aca="false">G12+G13</f>
        <v>163.010359058824</v>
      </c>
      <c r="H14" s="45" t="n">
        <f aca="false">H12+H13</f>
        <v>178.955696880424</v>
      </c>
      <c r="I14" s="45" t="n">
        <f aca="false">I12+I13</f>
        <v>195.846593234844</v>
      </c>
      <c r="J14" s="45" t="n">
        <f aca="false">J12+J13</f>
        <v>173.739119743082</v>
      </c>
      <c r="K14" s="45" t="n">
        <f aca="false">K12+K13</f>
        <v>232.692673073259</v>
      </c>
      <c r="L14" s="45" t="n">
        <f aca="false">L12+L13</f>
        <v>252.770172115915</v>
      </c>
      <c r="M14" s="45" t="n">
        <f aca="false">M12+M13</f>
        <v>274.0382668518</v>
      </c>
      <c r="N14" s="45" t="n">
        <f aca="false">N12+N13</f>
        <v>296.567559605524</v>
      </c>
      <c r="O14" s="45" t="n">
        <f aca="false">O12+O13</f>
        <v>230.432839419543</v>
      </c>
      <c r="P14" s="45" t="n">
        <f aca="false">P12+P13</f>
        <v>345.713330326534</v>
      </c>
      <c r="Q14" s="45" t="n">
        <f aca="false">Q12+Q13</f>
        <v>372.492954344309</v>
      </c>
      <c r="R14" s="45" t="n">
        <f aca="false">R12+R13</f>
        <v>400.860610066338</v>
      </c>
      <c r="S14" s="45" t="n">
        <f aca="false">S12+S13</f>
        <v>430.910467772684</v>
      </c>
      <c r="T14" s="45" t="n">
        <f aca="false">T12+T13</f>
        <v>372.742282041016</v>
      </c>
      <c r="U14" s="45" t="n">
        <f aca="false">U12+U13</f>
        <v>496.46172289546</v>
      </c>
      <c r="V14" s="45" t="n">
        <f aca="false">V12+V13</f>
        <v>532.180726592572</v>
      </c>
    </row>
    <row r="15" customFormat="false" ht="15" hidden="false" customHeight="true" outlineLevel="0" collapsed="false">
      <c r="A15" s="36" t="s">
        <v>182</v>
      </c>
      <c r="C15" s="39" t="n">
        <f aca="false">-'Debt Schedule'!C11</f>
        <v>-0</v>
      </c>
      <c r="D15" s="39" t="n">
        <f aca="false">-'Debt Schedule'!D11</f>
        <v>-0</v>
      </c>
      <c r="E15" s="39" t="n">
        <f aca="false">-'Debt Schedule'!E11</f>
        <v>-0</v>
      </c>
      <c r="F15" s="39" t="n">
        <f aca="false">-'Debt Schedule'!F11</f>
        <v>-121.41</v>
      </c>
      <c r="G15" s="39" t="n">
        <f aca="false">-'Debt Schedule'!G11</f>
        <v>-111.2925</v>
      </c>
      <c r="H15" s="39" t="n">
        <f aca="false">-'Debt Schedule'!H11</f>
        <v>-101.175</v>
      </c>
      <c r="I15" s="39" t="n">
        <f aca="false">-'Debt Schedule'!I11</f>
        <v>-91.0575</v>
      </c>
      <c r="J15" s="39" t="n">
        <f aca="false">-'Debt Schedule'!J11</f>
        <v>-80.94</v>
      </c>
      <c r="K15" s="39" t="n">
        <f aca="false">-'Debt Schedule'!K11</f>
        <v>-70.8225</v>
      </c>
      <c r="L15" s="39" t="n">
        <f aca="false">-'Debt Schedule'!L11</f>
        <v>-60.705</v>
      </c>
      <c r="M15" s="39" t="n">
        <f aca="false">-'Debt Schedule'!M11</f>
        <v>-50.5875</v>
      </c>
      <c r="N15" s="39" t="n">
        <f aca="false">-'Debt Schedule'!N11</f>
        <v>-40.47</v>
      </c>
      <c r="O15" s="39" t="n">
        <f aca="false">-'Debt Schedule'!O11</f>
        <v>-30.3525</v>
      </c>
      <c r="P15" s="39" t="n">
        <f aca="false">-'Debt Schedule'!P11</f>
        <v>-20.235</v>
      </c>
      <c r="Q15" s="39" t="n">
        <f aca="false">-'Debt Schedule'!Q11</f>
        <v>-10.1175</v>
      </c>
      <c r="R15" s="39" t="n">
        <f aca="false">-'Debt Schedule'!R11</f>
        <v>-0</v>
      </c>
      <c r="S15" s="39" t="n">
        <f aca="false">-'Debt Schedule'!S11</f>
        <v>-0</v>
      </c>
      <c r="T15" s="39" t="n">
        <f aca="false">-'Debt Schedule'!T11</f>
        <v>-0</v>
      </c>
      <c r="U15" s="39" t="n">
        <f aca="false">-'Debt Schedule'!U11</f>
        <v>-0</v>
      </c>
      <c r="V15" s="39" t="n">
        <f aca="false">-'Debt Schedule'!V11</f>
        <v>-0</v>
      </c>
    </row>
    <row r="16" customFormat="false" ht="15" hidden="false" customHeight="true" outlineLevel="0" collapsed="false">
      <c r="A16" s="41" t="s">
        <v>183</v>
      </c>
      <c r="C16" s="45" t="n">
        <f aca="false">C14+C15</f>
        <v>0</v>
      </c>
      <c r="D16" s="45" t="n">
        <f aca="false">D14+D15</f>
        <v>0</v>
      </c>
      <c r="E16" s="45" t="n">
        <f aca="false">E14+E15</f>
        <v>0</v>
      </c>
      <c r="F16" s="45" t="n">
        <f aca="false">F14+F15</f>
        <v>26.5476470588235</v>
      </c>
      <c r="G16" s="45" t="n">
        <f aca="false">G14+G15</f>
        <v>51.7178590588235</v>
      </c>
      <c r="H16" s="45" t="n">
        <f aca="false">H14+H15</f>
        <v>77.7806968804235</v>
      </c>
      <c r="I16" s="45" t="n">
        <f aca="false">I14+I15</f>
        <v>104.789093234844</v>
      </c>
      <c r="J16" s="45" t="n">
        <f aca="false">J14+J15</f>
        <v>92.7991197430824</v>
      </c>
      <c r="K16" s="45" t="n">
        <f aca="false">K14+K15</f>
        <v>161.870173073259</v>
      </c>
      <c r="L16" s="45" t="n">
        <f aca="false">L14+L15</f>
        <v>192.065172115915</v>
      </c>
      <c r="M16" s="45" t="n">
        <f aca="false">M14+M15</f>
        <v>223.4507668518</v>
      </c>
      <c r="N16" s="45" t="n">
        <f aca="false">N14+N15</f>
        <v>256.097559605524</v>
      </c>
      <c r="O16" s="45" t="n">
        <f aca="false">O14+O15</f>
        <v>200.080339419543</v>
      </c>
      <c r="P16" s="45" t="n">
        <f aca="false">P14+P15</f>
        <v>325.478330326534</v>
      </c>
      <c r="Q16" s="45" t="n">
        <f aca="false">Q14+Q15</f>
        <v>362.375454344309</v>
      </c>
      <c r="R16" s="45" t="n">
        <f aca="false">R14+R15</f>
        <v>400.860610066338</v>
      </c>
      <c r="S16" s="45" t="n">
        <f aca="false">S14+S15</f>
        <v>430.910467772684</v>
      </c>
      <c r="T16" s="45" t="n">
        <f aca="false">T14+T15</f>
        <v>372.742282041016</v>
      </c>
      <c r="U16" s="45" t="n">
        <f aca="false">U14+U15</f>
        <v>496.46172289546</v>
      </c>
      <c r="V16" s="45" t="n">
        <f aca="false">V14+V15</f>
        <v>532.180726592572</v>
      </c>
    </row>
    <row r="17" customFormat="false" ht="15" hidden="false" customHeight="true" outlineLevel="0" collapsed="false">
      <c r="A17" s="36" t="s">
        <v>184</v>
      </c>
      <c r="C17" s="40" t="n">
        <f aca="false">-MAX(0,C16)*Assumptions!$C$35</f>
        <v>-0</v>
      </c>
      <c r="D17" s="40" t="n">
        <f aca="false">-MAX(0,D16)*Assumptions!$C$35</f>
        <v>-0</v>
      </c>
      <c r="E17" s="40" t="n">
        <f aca="false">-MAX(0,E16)*Assumptions!$C$35</f>
        <v>-0</v>
      </c>
      <c r="F17" s="40" t="n">
        <f aca="false">-MAX(0,F16)*Assumptions!$C$35</f>
        <v>-6.63691176470589</v>
      </c>
      <c r="G17" s="40" t="n">
        <f aca="false">-MAX(0,G16)*Assumptions!$C$35</f>
        <v>-12.9294647647059</v>
      </c>
      <c r="H17" s="40" t="n">
        <f aca="false">-MAX(0,H16)*Assumptions!$C$35</f>
        <v>-19.4451742201059</v>
      </c>
      <c r="I17" s="40" t="n">
        <f aca="false">-MAX(0,I16)*Assumptions!$C$35</f>
        <v>-26.1972733087111</v>
      </c>
      <c r="J17" s="40" t="n">
        <f aca="false">-MAX(0,J16)*Assumptions!$C$35</f>
        <v>-23.1997799357706</v>
      </c>
      <c r="K17" s="40" t="n">
        <f aca="false">-MAX(0,K16)*Assumptions!$C$35</f>
        <v>-40.4675432683147</v>
      </c>
      <c r="L17" s="40" t="n">
        <f aca="false">-MAX(0,L16)*Assumptions!$C$35</f>
        <v>-48.0162930289787</v>
      </c>
      <c r="M17" s="40" t="n">
        <f aca="false">-MAX(0,M16)*Assumptions!$C$35</f>
        <v>-55.8626917129501</v>
      </c>
      <c r="N17" s="40" t="n">
        <f aca="false">-MAX(0,N16)*Assumptions!$C$35</f>
        <v>-64.0243899013809</v>
      </c>
      <c r="O17" s="40" t="n">
        <f aca="false">-MAX(0,O16)*Assumptions!$C$35</f>
        <v>-50.0200848548858</v>
      </c>
      <c r="P17" s="40" t="n">
        <f aca="false">-MAX(0,P16)*Assumptions!$C$35</f>
        <v>-81.3695825816334</v>
      </c>
      <c r="Q17" s="40" t="n">
        <f aca="false">-MAX(0,Q16)*Assumptions!$C$35</f>
        <v>-90.5938635860772</v>
      </c>
      <c r="R17" s="40" t="n">
        <f aca="false">-MAX(0,R16)*Assumptions!$C$35</f>
        <v>-100.215152516585</v>
      </c>
      <c r="S17" s="40" t="n">
        <f aca="false">-MAX(0,S16)*Assumptions!$C$35</f>
        <v>-107.727616943171</v>
      </c>
      <c r="T17" s="40" t="n">
        <f aca="false">-MAX(0,T16)*Assumptions!$C$35</f>
        <v>-93.1855705102539</v>
      </c>
      <c r="U17" s="40" t="n">
        <f aca="false">-MAX(0,U16)*Assumptions!$C$35</f>
        <v>-124.115430723865</v>
      </c>
      <c r="V17" s="40" t="n">
        <f aca="false">-MAX(0,V16)*Assumptions!$C$35</f>
        <v>-133.045181648143</v>
      </c>
    </row>
    <row r="18" customFormat="false" ht="15" hidden="false" customHeight="true" outlineLevel="0" collapsed="false">
      <c r="A18" s="41" t="s">
        <v>185</v>
      </c>
      <c r="C18" s="44" t="n">
        <f aca="false">C16+C17</f>
        <v>0</v>
      </c>
      <c r="D18" s="44" t="n">
        <f aca="false">D16+D17</f>
        <v>0</v>
      </c>
      <c r="E18" s="44" t="n">
        <f aca="false">E16+E17</f>
        <v>0</v>
      </c>
      <c r="F18" s="44" t="n">
        <f aca="false">F16+F17</f>
        <v>19.9107352941177</v>
      </c>
      <c r="G18" s="44" t="n">
        <f aca="false">G16+G17</f>
        <v>38.7883942941176</v>
      </c>
      <c r="H18" s="44" t="n">
        <f aca="false">H16+H17</f>
        <v>58.3355226603176</v>
      </c>
      <c r="I18" s="44" t="n">
        <f aca="false">I16+I17</f>
        <v>78.5918199261333</v>
      </c>
      <c r="J18" s="44" t="n">
        <f aca="false">J16+J17</f>
        <v>69.5993398073118</v>
      </c>
      <c r="K18" s="44" t="n">
        <f aca="false">K16+K17</f>
        <v>121.402629804944</v>
      </c>
      <c r="L18" s="44" t="n">
        <f aca="false">L16+L17</f>
        <v>144.048879086936</v>
      </c>
      <c r="M18" s="44" t="n">
        <f aca="false">M16+M17</f>
        <v>167.58807513885</v>
      </c>
      <c r="N18" s="44" t="n">
        <f aca="false">N16+N17</f>
        <v>192.073169704143</v>
      </c>
      <c r="O18" s="44" t="n">
        <f aca="false">O16+O17</f>
        <v>150.060254564657</v>
      </c>
      <c r="P18" s="44" t="n">
        <f aca="false">P16+P17</f>
        <v>244.1087477449</v>
      </c>
      <c r="Q18" s="44" t="n">
        <f aca="false">Q16+Q17</f>
        <v>271.781590758232</v>
      </c>
      <c r="R18" s="44" t="n">
        <f aca="false">R16+R17</f>
        <v>300.645457549754</v>
      </c>
      <c r="S18" s="44" t="n">
        <f aca="false">S16+S17</f>
        <v>323.182850829513</v>
      </c>
      <c r="T18" s="44" t="n">
        <f aca="false">T16+T17</f>
        <v>279.556711530762</v>
      </c>
      <c r="U18" s="44" t="n">
        <f aca="false">U16+U17</f>
        <v>372.346292171595</v>
      </c>
      <c r="V18" s="44" t="n">
        <f aca="false">V16+V17</f>
        <v>399.135544944429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186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187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188</v>
      </c>
    </row>
    <row r="9" customFormat="false" ht="15" hidden="false" customHeight="true" outlineLevel="0" collapsed="false">
      <c r="A9" s="36" t="s">
        <v>179</v>
      </c>
      <c r="C9" s="39" t="n">
        <f aca="false">'P&amp;L'!C12</f>
        <v>0</v>
      </c>
      <c r="D9" s="39" t="n">
        <f aca="false">'P&amp;L'!D12</f>
        <v>0</v>
      </c>
      <c r="E9" s="39" t="n">
        <f aca="false">'P&amp;L'!E12</f>
        <v>0</v>
      </c>
      <c r="F9" s="39" t="n">
        <f aca="false">'P&amp;L'!F12</f>
        <v>253.84</v>
      </c>
      <c r="G9" s="39" t="n">
        <f aca="false">'P&amp;L'!G12</f>
        <v>268.892712</v>
      </c>
      <c r="H9" s="39" t="n">
        <f aca="false">'P&amp;L'!H12</f>
        <v>284.8380498216</v>
      </c>
      <c r="I9" s="39" t="n">
        <f aca="false">'P&amp;L'!I12</f>
        <v>301.728946176021</v>
      </c>
      <c r="J9" s="39" t="n">
        <f aca="false">'P&amp;L'!J12</f>
        <v>279.621472684259</v>
      </c>
      <c r="K9" s="39" t="n">
        <f aca="false">'P&amp;L'!K12</f>
        <v>338.575026014435</v>
      </c>
      <c r="L9" s="39" t="n">
        <f aca="false">'P&amp;L'!L12</f>
        <v>358.652525057091</v>
      </c>
      <c r="M9" s="39" t="n">
        <f aca="false">'P&amp;L'!M12</f>
        <v>379.920619792977</v>
      </c>
      <c r="N9" s="39" t="n">
        <f aca="false">'P&amp;L'!N12</f>
        <v>402.4499125467</v>
      </c>
      <c r="O9" s="39" t="n">
        <f aca="false">'P&amp;L'!O12</f>
        <v>336.31519236072</v>
      </c>
      <c r="P9" s="39" t="n">
        <f aca="false">'P&amp;L'!P12</f>
        <v>451.59568326771</v>
      </c>
      <c r="Q9" s="39" t="n">
        <f aca="false">'P&amp;L'!Q12</f>
        <v>478.375307285485</v>
      </c>
      <c r="R9" s="39" t="n">
        <f aca="false">'P&amp;L'!R12</f>
        <v>506.742963007515</v>
      </c>
      <c r="S9" s="39" t="n">
        <f aca="false">'P&amp;L'!S12</f>
        <v>536.79282071386</v>
      </c>
      <c r="T9" s="39" t="n">
        <f aca="false">'P&amp;L'!T12</f>
        <v>478.624634982192</v>
      </c>
      <c r="U9" s="39" t="n">
        <f aca="false">'P&amp;L'!U12</f>
        <v>602.344075836636</v>
      </c>
      <c r="V9" s="39" t="n">
        <f aca="false">'P&amp;L'!V12</f>
        <v>638.063079533749</v>
      </c>
    </row>
    <row r="10" customFormat="false" ht="15" hidden="false" customHeight="true" outlineLevel="0" collapsed="false">
      <c r="A10" s="36" t="s">
        <v>189</v>
      </c>
      <c r="C10" s="39" t="n">
        <f aca="false">'P&amp;L'!C17</f>
        <v>-0</v>
      </c>
      <c r="D10" s="39" t="n">
        <f aca="false">'P&amp;L'!D17</f>
        <v>-0</v>
      </c>
      <c r="E10" s="39" t="n">
        <f aca="false">'P&amp;L'!E17</f>
        <v>-0</v>
      </c>
      <c r="F10" s="39" t="n">
        <f aca="false">'P&amp;L'!F17</f>
        <v>-6.63691176470589</v>
      </c>
      <c r="G10" s="39" t="n">
        <f aca="false">'P&amp;L'!G17</f>
        <v>-12.9294647647059</v>
      </c>
      <c r="H10" s="39" t="n">
        <f aca="false">'P&amp;L'!H17</f>
        <v>-19.4451742201059</v>
      </c>
      <c r="I10" s="39" t="n">
        <f aca="false">'P&amp;L'!I17</f>
        <v>-26.1972733087111</v>
      </c>
      <c r="J10" s="39" t="n">
        <f aca="false">'P&amp;L'!J17</f>
        <v>-23.1997799357706</v>
      </c>
      <c r="K10" s="39" t="n">
        <f aca="false">'P&amp;L'!K17</f>
        <v>-40.4675432683147</v>
      </c>
      <c r="L10" s="39" t="n">
        <f aca="false">'P&amp;L'!L17</f>
        <v>-48.0162930289787</v>
      </c>
      <c r="M10" s="39" t="n">
        <f aca="false">'P&amp;L'!M17</f>
        <v>-55.8626917129501</v>
      </c>
      <c r="N10" s="39" t="n">
        <f aca="false">'P&amp;L'!N17</f>
        <v>-64.0243899013809</v>
      </c>
      <c r="O10" s="39" t="n">
        <f aca="false">'P&amp;L'!O17</f>
        <v>-50.0200848548858</v>
      </c>
      <c r="P10" s="39" t="n">
        <f aca="false">'P&amp;L'!P17</f>
        <v>-81.3695825816334</v>
      </c>
      <c r="Q10" s="39" t="n">
        <f aca="false">'P&amp;L'!Q17</f>
        <v>-90.5938635860772</v>
      </c>
      <c r="R10" s="39" t="n">
        <f aca="false">'P&amp;L'!R17</f>
        <v>-100.215152516585</v>
      </c>
      <c r="S10" s="39" t="n">
        <f aca="false">'P&amp;L'!S17</f>
        <v>-107.727616943171</v>
      </c>
      <c r="T10" s="39" t="n">
        <f aca="false">'P&amp;L'!T17</f>
        <v>-93.1855705102539</v>
      </c>
      <c r="U10" s="39" t="n">
        <f aca="false">'P&amp;L'!U17</f>
        <v>-124.115430723865</v>
      </c>
      <c r="V10" s="39" t="n">
        <f aca="false">'P&amp;L'!V17</f>
        <v>-133.045181648143</v>
      </c>
    </row>
    <row r="11" customFormat="false" ht="15" hidden="false" customHeight="true" outlineLevel="0" collapsed="false">
      <c r="A11" s="41" t="s">
        <v>190</v>
      </c>
      <c r="C11" s="44" t="n">
        <f aca="false">C9+C10</f>
        <v>0</v>
      </c>
      <c r="D11" s="44" t="n">
        <f aca="false">D9+D10</f>
        <v>0</v>
      </c>
      <c r="E11" s="44" t="n">
        <f aca="false">E9+E10</f>
        <v>0</v>
      </c>
      <c r="F11" s="44" t="n">
        <f aca="false">F9+F10</f>
        <v>247.203088235294</v>
      </c>
      <c r="G11" s="44" t="n">
        <f aca="false">G9+G10</f>
        <v>255.963247235294</v>
      </c>
      <c r="H11" s="44" t="n">
        <f aca="false">H9+H10</f>
        <v>265.392875601494</v>
      </c>
      <c r="I11" s="44" t="n">
        <f aca="false">I9+I10</f>
        <v>275.53167286731</v>
      </c>
      <c r="J11" s="44" t="n">
        <f aca="false">J9+J10</f>
        <v>256.421692748488</v>
      </c>
      <c r="K11" s="44" t="n">
        <f aca="false">K9+K10</f>
        <v>298.107482746121</v>
      </c>
      <c r="L11" s="44" t="n">
        <f aca="false">L9+L10</f>
        <v>310.636232028113</v>
      </c>
      <c r="M11" s="44" t="n">
        <f aca="false">M9+M10</f>
        <v>324.057928080027</v>
      </c>
      <c r="N11" s="44" t="n">
        <f aca="false">N9+N10</f>
        <v>338.425522645319</v>
      </c>
      <c r="O11" s="44" t="n">
        <f aca="false">O9+O10</f>
        <v>286.295107505834</v>
      </c>
      <c r="P11" s="44" t="n">
        <f aca="false">P9+P10</f>
        <v>370.226100686077</v>
      </c>
      <c r="Q11" s="44" t="n">
        <f aca="false">Q9+Q10</f>
        <v>387.781443699408</v>
      </c>
      <c r="R11" s="44" t="n">
        <f aca="false">R9+R10</f>
        <v>406.52781049093</v>
      </c>
      <c r="S11" s="44" t="n">
        <f aca="false">S9+S10</f>
        <v>429.065203770689</v>
      </c>
      <c r="T11" s="44" t="n">
        <f aca="false">T9+T10</f>
        <v>385.439064471938</v>
      </c>
      <c r="U11" s="44" t="n">
        <f aca="false">U9+U10</f>
        <v>478.228645112771</v>
      </c>
      <c r="V11" s="44" t="n">
        <f aca="false">V9+V10</f>
        <v>505.017897885605</v>
      </c>
    </row>
    <row r="12" customFormat="false" ht="15" hidden="false" customHeight="true" outlineLevel="0" collapsed="false">
      <c r="A12" s="13" t="s">
        <v>191</v>
      </c>
    </row>
    <row r="13" customFormat="false" ht="15" hidden="false" customHeight="true" outlineLevel="0" collapsed="false">
      <c r="A13" s="36" t="s">
        <v>192</v>
      </c>
      <c r="C13" s="39" t="n">
        <f aca="false">-'Construction &amp; Capex'!C10</f>
        <v>-540</v>
      </c>
      <c r="D13" s="39" t="n">
        <f aca="false">-'Construction &amp; Capex'!D10</f>
        <v>-720</v>
      </c>
      <c r="E13" s="39" t="n">
        <f aca="false">-'Construction &amp; Capex'!E10</f>
        <v>-540</v>
      </c>
      <c r="F13" s="39" t="n">
        <f aca="false">-'Construction &amp; Capex'!F10</f>
        <v>-0</v>
      </c>
      <c r="G13" s="39" t="n">
        <f aca="false">-'Construction &amp; Capex'!G10</f>
        <v>-0</v>
      </c>
      <c r="H13" s="39" t="n">
        <f aca="false">-'Construction &amp; Capex'!H10</f>
        <v>-0</v>
      </c>
      <c r="I13" s="39" t="n">
        <f aca="false">-'Construction &amp; Capex'!I10</f>
        <v>-0</v>
      </c>
      <c r="J13" s="39" t="n">
        <f aca="false">-'Construction &amp; Capex'!J10</f>
        <v>-0</v>
      </c>
      <c r="K13" s="39" t="n">
        <f aca="false">-'Construction &amp; Capex'!K10</f>
        <v>-0</v>
      </c>
      <c r="L13" s="39" t="n">
        <f aca="false">-'Construction &amp; Capex'!L10</f>
        <v>-0</v>
      </c>
      <c r="M13" s="39" t="n">
        <f aca="false">-'Construction &amp; Capex'!M10</f>
        <v>-0</v>
      </c>
      <c r="N13" s="39" t="n">
        <f aca="false">-'Construction &amp; Capex'!N10</f>
        <v>-0</v>
      </c>
      <c r="O13" s="39" t="n">
        <f aca="false">-'Construction &amp; Capex'!O10</f>
        <v>-0</v>
      </c>
      <c r="P13" s="39" t="n">
        <f aca="false">-'Construction &amp; Capex'!P10</f>
        <v>-0</v>
      </c>
      <c r="Q13" s="39" t="n">
        <f aca="false">-'Construction &amp; Capex'!Q10</f>
        <v>-0</v>
      </c>
      <c r="R13" s="39" t="n">
        <f aca="false">-'Construction &amp; Capex'!R10</f>
        <v>-0</v>
      </c>
      <c r="S13" s="39" t="n">
        <f aca="false">-'Construction &amp; Capex'!S10</f>
        <v>-0</v>
      </c>
      <c r="T13" s="39" t="n">
        <f aca="false">-'Construction &amp; Capex'!T10</f>
        <v>-0</v>
      </c>
      <c r="U13" s="39" t="n">
        <f aca="false">-'Construction &amp; Capex'!U10</f>
        <v>-0</v>
      </c>
      <c r="V13" s="39" t="n">
        <f aca="false">-'Construction &amp; Capex'!V10</f>
        <v>-0</v>
      </c>
    </row>
    <row r="14" customFormat="false" ht="15" hidden="false" customHeight="true" outlineLevel="0" collapsed="false">
      <c r="A14" s="41" t="s">
        <v>193</v>
      </c>
      <c r="C14" s="44" t="n">
        <f aca="false">C11+C13</f>
        <v>-540</v>
      </c>
      <c r="D14" s="44" t="n">
        <f aca="false">D11+D13</f>
        <v>-720</v>
      </c>
      <c r="E14" s="44" t="n">
        <f aca="false">E11+E13</f>
        <v>-540</v>
      </c>
      <c r="F14" s="44" t="n">
        <f aca="false">F11+F13</f>
        <v>247.203088235294</v>
      </c>
      <c r="G14" s="44" t="n">
        <f aca="false">G11+G13</f>
        <v>255.963247235294</v>
      </c>
      <c r="H14" s="44" t="n">
        <f aca="false">H11+H13</f>
        <v>265.392875601494</v>
      </c>
      <c r="I14" s="44" t="n">
        <f aca="false">I11+I13</f>
        <v>275.53167286731</v>
      </c>
      <c r="J14" s="44" t="n">
        <f aca="false">J11+J13</f>
        <v>256.421692748488</v>
      </c>
      <c r="K14" s="44" t="n">
        <f aca="false">K11+K13</f>
        <v>298.107482746121</v>
      </c>
      <c r="L14" s="44" t="n">
        <f aca="false">L11+L13</f>
        <v>310.636232028113</v>
      </c>
      <c r="M14" s="44" t="n">
        <f aca="false">M11+M13</f>
        <v>324.057928080027</v>
      </c>
      <c r="N14" s="44" t="n">
        <f aca="false">N11+N13</f>
        <v>338.425522645319</v>
      </c>
      <c r="O14" s="44" t="n">
        <f aca="false">O11+O13</f>
        <v>286.295107505834</v>
      </c>
      <c r="P14" s="44" t="n">
        <f aca="false">P11+P13</f>
        <v>370.226100686077</v>
      </c>
      <c r="Q14" s="44" t="n">
        <f aca="false">Q11+Q13</f>
        <v>387.781443699408</v>
      </c>
      <c r="R14" s="44" t="n">
        <f aca="false">R11+R13</f>
        <v>406.52781049093</v>
      </c>
      <c r="S14" s="44" t="n">
        <f aca="false">S11+S13</f>
        <v>429.065203770689</v>
      </c>
      <c r="T14" s="44" t="n">
        <f aca="false">T11+T13</f>
        <v>385.439064471938</v>
      </c>
      <c r="U14" s="44" t="n">
        <f aca="false">U11+U13</f>
        <v>478.228645112771</v>
      </c>
      <c r="V14" s="44" t="n">
        <f aca="false">V11+V13</f>
        <v>505.017897885605</v>
      </c>
    </row>
    <row r="15" customFormat="false" ht="15" hidden="false" customHeight="true" outlineLevel="0" collapsed="false">
      <c r="A15" s="13" t="s">
        <v>194</v>
      </c>
    </row>
    <row r="16" customFormat="false" ht="15" hidden="false" customHeight="true" outlineLevel="0" collapsed="false">
      <c r="A16" s="36" t="s">
        <v>195</v>
      </c>
      <c r="C16" s="39" t="n">
        <f aca="false">'Debt Schedule'!C10</f>
        <v>383.4</v>
      </c>
      <c r="D16" s="39" t="n">
        <f aca="false">'Debt Schedule'!D10</f>
        <v>511.2</v>
      </c>
      <c r="E16" s="39" t="n">
        <f aca="false">'Debt Schedule'!E10</f>
        <v>383.4</v>
      </c>
      <c r="F16" s="39" t="n">
        <f aca="false">'Debt Schedule'!F10</f>
        <v>0</v>
      </c>
      <c r="G16" s="39" t="n">
        <f aca="false">'Debt Schedule'!G10</f>
        <v>0</v>
      </c>
      <c r="H16" s="39" t="n">
        <f aca="false">'Debt Schedule'!H10</f>
        <v>0</v>
      </c>
      <c r="I16" s="39" t="n">
        <f aca="false">'Debt Schedule'!I10</f>
        <v>0</v>
      </c>
      <c r="J16" s="39" t="n">
        <f aca="false">'Debt Schedule'!J10</f>
        <v>0</v>
      </c>
      <c r="K16" s="39" t="n">
        <f aca="false">'Debt Schedule'!K10</f>
        <v>0</v>
      </c>
      <c r="L16" s="39" t="n">
        <f aca="false">'Debt Schedule'!L10</f>
        <v>0</v>
      </c>
      <c r="M16" s="39" t="n">
        <f aca="false">'Debt Schedule'!M10</f>
        <v>0</v>
      </c>
      <c r="N16" s="39" t="n">
        <f aca="false">'Debt Schedule'!N10</f>
        <v>0</v>
      </c>
      <c r="O16" s="39" t="n">
        <f aca="false">'Debt Schedule'!O10</f>
        <v>0</v>
      </c>
      <c r="P16" s="39" t="n">
        <f aca="false">'Debt Schedule'!P10</f>
        <v>0</v>
      </c>
      <c r="Q16" s="39" t="n">
        <f aca="false">'Debt Schedule'!Q10</f>
        <v>0</v>
      </c>
      <c r="R16" s="39" t="n">
        <f aca="false">'Debt Schedule'!R10</f>
        <v>0</v>
      </c>
      <c r="S16" s="39" t="n">
        <f aca="false">'Debt Schedule'!S10</f>
        <v>0</v>
      </c>
      <c r="T16" s="39" t="n">
        <f aca="false">'Debt Schedule'!T10</f>
        <v>0</v>
      </c>
      <c r="U16" s="39" t="n">
        <f aca="false">'Debt Schedule'!U10</f>
        <v>0</v>
      </c>
      <c r="V16" s="39" t="n">
        <f aca="false">'Debt Schedule'!V10</f>
        <v>0</v>
      </c>
    </row>
    <row r="17" customFormat="false" ht="15" hidden="false" customHeight="true" outlineLevel="0" collapsed="false">
      <c r="A17" s="36" t="s">
        <v>196</v>
      </c>
      <c r="C17" s="39" t="n">
        <f aca="false">-'Debt Schedule'!C11</f>
        <v>-0</v>
      </c>
      <c r="D17" s="39" t="n">
        <f aca="false">-'Debt Schedule'!D11</f>
        <v>-0</v>
      </c>
      <c r="E17" s="39" t="n">
        <f aca="false">-'Debt Schedule'!E11</f>
        <v>-0</v>
      </c>
      <c r="F17" s="39" t="n">
        <f aca="false">-'Debt Schedule'!F11</f>
        <v>-121.41</v>
      </c>
      <c r="G17" s="39" t="n">
        <f aca="false">-'Debt Schedule'!G11</f>
        <v>-111.2925</v>
      </c>
      <c r="H17" s="39" t="n">
        <f aca="false">-'Debt Schedule'!H11</f>
        <v>-101.175</v>
      </c>
      <c r="I17" s="39" t="n">
        <f aca="false">-'Debt Schedule'!I11</f>
        <v>-91.0575</v>
      </c>
      <c r="J17" s="39" t="n">
        <f aca="false">-'Debt Schedule'!J11</f>
        <v>-80.94</v>
      </c>
      <c r="K17" s="39" t="n">
        <f aca="false">-'Debt Schedule'!K11</f>
        <v>-70.8225</v>
      </c>
      <c r="L17" s="39" t="n">
        <f aca="false">-'Debt Schedule'!L11</f>
        <v>-60.705</v>
      </c>
      <c r="M17" s="39" t="n">
        <f aca="false">-'Debt Schedule'!M11</f>
        <v>-50.5875</v>
      </c>
      <c r="N17" s="39" t="n">
        <f aca="false">-'Debt Schedule'!N11</f>
        <v>-40.47</v>
      </c>
      <c r="O17" s="39" t="n">
        <f aca="false">-'Debt Schedule'!O11</f>
        <v>-30.3525</v>
      </c>
      <c r="P17" s="39" t="n">
        <f aca="false">-'Debt Schedule'!P11</f>
        <v>-20.235</v>
      </c>
      <c r="Q17" s="39" t="n">
        <f aca="false">-'Debt Schedule'!Q11</f>
        <v>-10.1175</v>
      </c>
      <c r="R17" s="39" t="n">
        <f aca="false">-'Debt Schedule'!R11</f>
        <v>-0</v>
      </c>
      <c r="S17" s="39" t="n">
        <f aca="false">-'Debt Schedule'!S11</f>
        <v>-0</v>
      </c>
      <c r="T17" s="39" t="n">
        <f aca="false">-'Debt Schedule'!T11</f>
        <v>-0</v>
      </c>
      <c r="U17" s="39" t="n">
        <f aca="false">-'Debt Schedule'!U11</f>
        <v>-0</v>
      </c>
      <c r="V17" s="39" t="n">
        <f aca="false">-'Debt Schedule'!V11</f>
        <v>-0</v>
      </c>
    </row>
    <row r="18" customFormat="false" ht="15" hidden="false" customHeight="true" outlineLevel="0" collapsed="false">
      <c r="A18" s="36" t="s">
        <v>197</v>
      </c>
      <c r="C18" s="39" t="n">
        <f aca="false">-'Debt Schedule'!C12</f>
        <v>-0</v>
      </c>
      <c r="D18" s="39" t="n">
        <f aca="false">-'Debt Schedule'!D12</f>
        <v>-0</v>
      </c>
      <c r="E18" s="39" t="n">
        <f aca="false">-'Debt Schedule'!E12</f>
        <v>-0</v>
      </c>
      <c r="F18" s="39" t="n">
        <f aca="false">-'Debt Schedule'!F12</f>
        <v>-106.5</v>
      </c>
      <c r="G18" s="39" t="n">
        <f aca="false">-'Debt Schedule'!G12</f>
        <v>-106.5</v>
      </c>
      <c r="H18" s="39" t="n">
        <f aca="false">-'Debt Schedule'!H12</f>
        <v>-106.5</v>
      </c>
      <c r="I18" s="39" t="n">
        <f aca="false">-'Debt Schedule'!I12</f>
        <v>-106.5</v>
      </c>
      <c r="J18" s="39" t="n">
        <f aca="false">-'Debt Schedule'!J12</f>
        <v>-106.5</v>
      </c>
      <c r="K18" s="39" t="n">
        <f aca="false">-'Debt Schedule'!K12</f>
        <v>-106.5</v>
      </c>
      <c r="L18" s="39" t="n">
        <f aca="false">-'Debt Schedule'!L12</f>
        <v>-106.5</v>
      </c>
      <c r="M18" s="39" t="n">
        <f aca="false">-'Debt Schedule'!M12</f>
        <v>-106.5</v>
      </c>
      <c r="N18" s="39" t="n">
        <f aca="false">-'Debt Schedule'!N12</f>
        <v>-106.5</v>
      </c>
      <c r="O18" s="39" t="n">
        <f aca="false">-'Debt Schedule'!O12</f>
        <v>-106.5</v>
      </c>
      <c r="P18" s="39" t="n">
        <f aca="false">-'Debt Schedule'!P12</f>
        <v>-106.5</v>
      </c>
      <c r="Q18" s="39" t="n">
        <f aca="false">-'Debt Schedule'!Q12</f>
        <v>-106.5</v>
      </c>
      <c r="R18" s="39" t="n">
        <f aca="false">-'Debt Schedule'!R12</f>
        <v>-0</v>
      </c>
      <c r="S18" s="39" t="n">
        <f aca="false">-'Debt Schedule'!S12</f>
        <v>-0</v>
      </c>
      <c r="T18" s="39" t="n">
        <f aca="false">-'Debt Schedule'!T12</f>
        <v>-0</v>
      </c>
      <c r="U18" s="39" t="n">
        <f aca="false">-'Debt Schedule'!U12</f>
        <v>-0</v>
      </c>
      <c r="V18" s="39" t="n">
        <f aca="false">-'Debt Schedule'!V12</f>
        <v>-0</v>
      </c>
    </row>
    <row r="19" customFormat="false" ht="15" hidden="false" customHeight="true" outlineLevel="0" collapsed="false">
      <c r="A19" s="36" t="s">
        <v>198</v>
      </c>
      <c r="C19" s="39" t="n">
        <f aca="false">-'Construction &amp; Capex'!C14</f>
        <v>-156.6</v>
      </c>
      <c r="D19" s="39" t="n">
        <f aca="false">-'Construction &amp; Capex'!D14</f>
        <v>-208.8</v>
      </c>
      <c r="E19" s="39" t="n">
        <f aca="false">-'Construction &amp; Capex'!E14</f>
        <v>-156.6</v>
      </c>
      <c r="F19" s="39" t="n">
        <f aca="false">-'Construction &amp; Capex'!F14</f>
        <v>-0</v>
      </c>
      <c r="G19" s="39" t="n">
        <f aca="false">-'Construction &amp; Capex'!G14</f>
        <v>-0</v>
      </c>
      <c r="H19" s="39" t="n">
        <f aca="false">-'Construction &amp; Capex'!H14</f>
        <v>-0</v>
      </c>
      <c r="I19" s="39" t="n">
        <f aca="false">-'Construction &amp; Capex'!I14</f>
        <v>-0</v>
      </c>
      <c r="J19" s="39" t="n">
        <f aca="false">-'Construction &amp; Capex'!J14</f>
        <v>-0</v>
      </c>
      <c r="K19" s="39" t="n">
        <f aca="false">-'Construction &amp; Capex'!K14</f>
        <v>-0</v>
      </c>
      <c r="L19" s="39" t="n">
        <f aca="false">-'Construction &amp; Capex'!L14</f>
        <v>-0</v>
      </c>
      <c r="M19" s="39" t="n">
        <f aca="false">-'Construction &amp; Capex'!M14</f>
        <v>-0</v>
      </c>
      <c r="N19" s="39" t="n">
        <f aca="false">-'Construction &amp; Capex'!N14</f>
        <v>-0</v>
      </c>
      <c r="O19" s="39" t="n">
        <f aca="false">-'Construction &amp; Capex'!O14</f>
        <v>-0</v>
      </c>
      <c r="P19" s="39" t="n">
        <f aca="false">-'Construction &amp; Capex'!P14</f>
        <v>-0</v>
      </c>
      <c r="Q19" s="39" t="n">
        <f aca="false">-'Construction &amp; Capex'!Q14</f>
        <v>-0</v>
      </c>
      <c r="R19" s="39" t="n">
        <f aca="false">-'Construction &amp; Capex'!R14</f>
        <v>-0</v>
      </c>
      <c r="S19" s="39" t="n">
        <f aca="false">-'Construction &amp; Capex'!S14</f>
        <v>-0</v>
      </c>
      <c r="T19" s="39" t="n">
        <f aca="false">-'Construction &amp; Capex'!T14</f>
        <v>-0</v>
      </c>
      <c r="U19" s="39" t="n">
        <f aca="false">-'Construction &amp; Capex'!U14</f>
        <v>-0</v>
      </c>
      <c r="V19" s="39" t="n">
        <f aca="false">-'Construction &amp; Capex'!V14</f>
        <v>-0</v>
      </c>
    </row>
    <row r="20" customFormat="false" ht="15" hidden="false" customHeight="true" outlineLevel="0" collapsed="false">
      <c r="A20" s="41" t="s">
        <v>199</v>
      </c>
      <c r="C20" s="44" t="n">
        <f aca="false">C11+C13+C16+C17+C18</f>
        <v>-156.6</v>
      </c>
      <c r="D20" s="44" t="n">
        <f aca="false">D11+D13+D16+D17+D18</f>
        <v>-208.8</v>
      </c>
      <c r="E20" s="44" t="n">
        <f aca="false">E11+E13+E16+E17+E18</f>
        <v>-156.6</v>
      </c>
      <c r="F20" s="44" t="n">
        <f aca="false">F11+F13+F16+F17+F18</f>
        <v>19.2930882352941</v>
      </c>
      <c r="G20" s="44" t="n">
        <f aca="false">G11+G13+G16+G17+G18</f>
        <v>38.1707472352941</v>
      </c>
      <c r="H20" s="44" t="n">
        <f aca="false">H11+H13+H16+H17+H18</f>
        <v>57.7178756014941</v>
      </c>
      <c r="I20" s="44" t="n">
        <f aca="false">I11+I13+I16+I17+I18</f>
        <v>77.9741728673097</v>
      </c>
      <c r="J20" s="44" t="n">
        <f aca="false">J11+J13+J16+J17+J18</f>
        <v>68.9816927484882</v>
      </c>
      <c r="K20" s="44" t="n">
        <f aca="false">K11+K13+K16+K17+K18</f>
        <v>120.784982746121</v>
      </c>
      <c r="L20" s="44" t="n">
        <f aca="false">L11+L13+L16+L17+L18</f>
        <v>143.431232028113</v>
      </c>
      <c r="M20" s="44" t="n">
        <f aca="false">M11+M13+M16+M17+M18</f>
        <v>166.970428080027</v>
      </c>
      <c r="N20" s="44" t="n">
        <f aca="false">N11+N13+N16+N17+N18</f>
        <v>191.455522645319</v>
      </c>
      <c r="O20" s="44" t="n">
        <f aca="false">O11+O13+O16+O17+O18</f>
        <v>149.442607505834</v>
      </c>
      <c r="P20" s="44" t="n">
        <f aca="false">P11+P13+P16+P17+P18</f>
        <v>243.491100686077</v>
      </c>
      <c r="Q20" s="44" t="n">
        <f aca="false">Q11+Q13+Q16+Q17+Q18</f>
        <v>271.163943699408</v>
      </c>
      <c r="R20" s="44" t="n">
        <f aca="false">R11+R13+R16+R17+R18</f>
        <v>406.52781049093</v>
      </c>
      <c r="S20" s="44" t="n">
        <f aca="false">S11+S13+S16+S17+S18</f>
        <v>429.065203770689</v>
      </c>
      <c r="T20" s="44" t="n">
        <f aca="false">T11+T13+T16+T17+T18</f>
        <v>385.439064471938</v>
      </c>
      <c r="U20" s="44" t="n">
        <f aca="false">U11+U13+U16+U17+U18</f>
        <v>478.228645112771</v>
      </c>
      <c r="V20" s="44" t="n">
        <f aca="false">V11+V13+V16+V17+V18</f>
        <v>505.017897885605</v>
      </c>
    </row>
    <row r="21" customFormat="false" ht="15" hidden="false" customHeight="true" outlineLevel="0" collapsed="false">
      <c r="A21" s="13" t="s">
        <v>200</v>
      </c>
    </row>
    <row r="22" customFormat="false" ht="15" hidden="false" customHeight="true" outlineLevel="0" collapsed="false">
      <c r="A22" s="36" t="s">
        <v>201</v>
      </c>
      <c r="C22" s="40" t="n">
        <v>0</v>
      </c>
      <c r="D22" s="40" t="n">
        <f aca="false">C24</f>
        <v>0</v>
      </c>
      <c r="E22" s="40" t="n">
        <f aca="false">D24</f>
        <v>0</v>
      </c>
      <c r="F22" s="40" t="n">
        <f aca="false">E24</f>
        <v>0</v>
      </c>
      <c r="G22" s="40" t="n">
        <f aca="false">F24</f>
        <v>19.2930882352941</v>
      </c>
      <c r="H22" s="40" t="n">
        <f aca="false">G24</f>
        <v>57.4638354705882</v>
      </c>
      <c r="I22" s="40" t="n">
        <f aca="false">H24</f>
        <v>115.181711072082</v>
      </c>
      <c r="J22" s="40" t="n">
        <f aca="false">I24</f>
        <v>193.155883939392</v>
      </c>
      <c r="K22" s="40" t="n">
        <f aca="false">J24</f>
        <v>262.13757668788</v>
      </c>
      <c r="L22" s="40" t="n">
        <f aca="false">K24</f>
        <v>382.922559434001</v>
      </c>
      <c r="M22" s="40" t="n">
        <f aca="false">L24</f>
        <v>526.353791462114</v>
      </c>
      <c r="N22" s="40" t="n">
        <f aca="false">M24</f>
        <v>693.32421954214</v>
      </c>
      <c r="O22" s="40" t="n">
        <f aca="false">N24</f>
        <v>884.77974218746</v>
      </c>
      <c r="P22" s="40" t="n">
        <f aca="false">O24</f>
        <v>1034.22234969329</v>
      </c>
      <c r="Q22" s="40" t="n">
        <f aca="false">P24</f>
        <v>1277.71345037937</v>
      </c>
      <c r="R22" s="40" t="n">
        <f aca="false">Q24</f>
        <v>1548.87739407878</v>
      </c>
      <c r="S22" s="40" t="n">
        <f aca="false">R24</f>
        <v>1955.40520456971</v>
      </c>
      <c r="T22" s="40" t="n">
        <f aca="false">S24</f>
        <v>2384.4704083404</v>
      </c>
      <c r="U22" s="40" t="n">
        <f aca="false">T24</f>
        <v>2769.90947281234</v>
      </c>
      <c r="V22" s="40" t="n">
        <f aca="false">U24</f>
        <v>3248.13811792511</v>
      </c>
    </row>
    <row r="23" customFormat="false" ht="15" hidden="false" customHeight="true" outlineLevel="0" collapsed="false">
      <c r="A23" s="36" t="s">
        <v>202</v>
      </c>
      <c r="C23" s="40" t="n">
        <f aca="false">C14+C16+C17+C18-C19</f>
        <v>0</v>
      </c>
      <c r="D23" s="40" t="n">
        <f aca="false">D14+D16+D17+D18-D19</f>
        <v>0</v>
      </c>
      <c r="E23" s="40" t="n">
        <f aca="false">E14+E16+E17+E18-E19</f>
        <v>0</v>
      </c>
      <c r="F23" s="40" t="n">
        <f aca="false">F14+F16+F17+F18-F19</f>
        <v>19.2930882352941</v>
      </c>
      <c r="G23" s="40" t="n">
        <f aca="false">G14+G16+G17+G18-G19</f>
        <v>38.1707472352941</v>
      </c>
      <c r="H23" s="40" t="n">
        <f aca="false">H14+H16+H17+H18-H19</f>
        <v>57.7178756014941</v>
      </c>
      <c r="I23" s="40" t="n">
        <f aca="false">I14+I16+I17+I18-I19</f>
        <v>77.9741728673097</v>
      </c>
      <c r="J23" s="40" t="n">
        <f aca="false">J14+J16+J17+J18-J19</f>
        <v>68.9816927484882</v>
      </c>
      <c r="K23" s="40" t="n">
        <f aca="false">K14+K16+K17+K18-K19</f>
        <v>120.784982746121</v>
      </c>
      <c r="L23" s="40" t="n">
        <f aca="false">L14+L16+L17+L18-L19</f>
        <v>143.431232028113</v>
      </c>
      <c r="M23" s="40" t="n">
        <f aca="false">M14+M16+M17+M18-M19</f>
        <v>166.970428080027</v>
      </c>
      <c r="N23" s="40" t="n">
        <f aca="false">N14+N16+N17+N18-N19</f>
        <v>191.455522645319</v>
      </c>
      <c r="O23" s="40" t="n">
        <f aca="false">O14+O16+O17+O18-O19</f>
        <v>149.442607505834</v>
      </c>
      <c r="P23" s="40" t="n">
        <f aca="false">P14+P16+P17+P18-P19</f>
        <v>243.491100686077</v>
      </c>
      <c r="Q23" s="40" t="n">
        <f aca="false">Q14+Q16+Q17+Q18-Q19</f>
        <v>271.163943699408</v>
      </c>
      <c r="R23" s="40" t="n">
        <f aca="false">R14+R16+R17+R18-R19</f>
        <v>406.52781049093</v>
      </c>
      <c r="S23" s="40" t="n">
        <f aca="false">S14+S16+S17+S18-S19</f>
        <v>429.065203770689</v>
      </c>
      <c r="T23" s="40" t="n">
        <f aca="false">T14+T16+T17+T18-T19</f>
        <v>385.439064471938</v>
      </c>
      <c r="U23" s="40" t="n">
        <f aca="false">U14+U16+U17+U18-U19</f>
        <v>478.228645112771</v>
      </c>
      <c r="V23" s="40" t="n">
        <f aca="false">V14+V16+V17+V18-V19</f>
        <v>505.017897885605</v>
      </c>
    </row>
    <row r="24" customFormat="false" ht="15" hidden="false" customHeight="true" outlineLevel="0" collapsed="false">
      <c r="A24" s="41" t="s">
        <v>203</v>
      </c>
      <c r="C24" s="44" t="n">
        <f aca="false">C22+C23</f>
        <v>0</v>
      </c>
      <c r="D24" s="44" t="n">
        <f aca="false">D22+D23</f>
        <v>0</v>
      </c>
      <c r="E24" s="44" t="n">
        <f aca="false">E22+E23</f>
        <v>0</v>
      </c>
      <c r="F24" s="44" t="n">
        <f aca="false">F22+F23</f>
        <v>19.2930882352941</v>
      </c>
      <c r="G24" s="44" t="n">
        <f aca="false">G22+G23</f>
        <v>57.4638354705882</v>
      </c>
      <c r="H24" s="44" t="n">
        <f aca="false">H22+H23</f>
        <v>115.181711072082</v>
      </c>
      <c r="I24" s="44" t="n">
        <f aca="false">I22+I23</f>
        <v>193.155883939392</v>
      </c>
      <c r="J24" s="44" t="n">
        <f aca="false">J22+J23</f>
        <v>262.13757668788</v>
      </c>
      <c r="K24" s="44" t="n">
        <f aca="false">K22+K23</f>
        <v>382.922559434001</v>
      </c>
      <c r="L24" s="44" t="n">
        <f aca="false">L22+L23</f>
        <v>526.353791462114</v>
      </c>
      <c r="M24" s="44" t="n">
        <f aca="false">M22+M23</f>
        <v>693.32421954214</v>
      </c>
      <c r="N24" s="44" t="n">
        <f aca="false">N22+N23</f>
        <v>884.77974218746</v>
      </c>
      <c r="O24" s="44" t="n">
        <f aca="false">O22+O23</f>
        <v>1034.22234969329</v>
      </c>
      <c r="P24" s="44" t="n">
        <f aca="false">P22+P23</f>
        <v>1277.71345037937</v>
      </c>
      <c r="Q24" s="44" t="n">
        <f aca="false">Q22+Q23</f>
        <v>1548.87739407878</v>
      </c>
      <c r="R24" s="44" t="n">
        <f aca="false">R22+R23</f>
        <v>1955.40520456971</v>
      </c>
      <c r="S24" s="44" t="n">
        <f aca="false">S22+S23</f>
        <v>2384.4704083404</v>
      </c>
      <c r="T24" s="44" t="n">
        <f aca="false">T22+T23</f>
        <v>2769.90947281234</v>
      </c>
      <c r="U24" s="44" t="n">
        <f aca="false">U22+U23</f>
        <v>3248.13811792511</v>
      </c>
      <c r="V24" s="44" t="n">
        <f aca="false">V22+V23</f>
        <v>3753.15601581071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0"/>
    <col collapsed="false" customWidth="true" hidden="false" outlineLevel="0" max="22" min="3" style="1" width="9.52"/>
  </cols>
  <sheetData>
    <row r="1" customFormat="false" ht="21.75" hidden="false" customHeight="true" outlineLevel="0" collapsed="false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customFormat="false" ht="19.5" hidden="false" customHeight="true" outlineLevel="0" collapsed="false">
      <c r="A2" s="21" t="s">
        <v>204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customFormat="false" ht="15" hidden="false" customHeight="true" outlineLevel="0" collapsed="false">
      <c r="A3" s="22" t="s">
        <v>205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customFormat="false" ht="3.75" hidden="false" customHeight="true" outlineLevel="0" collapsed="false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6" customFormat="false" ht="15" hidden="false" customHeight="true" outlineLevel="0" collapsed="false">
      <c r="A6" s="15" t="s">
        <v>117</v>
      </c>
      <c r="B6" s="27" t="s">
        <v>118</v>
      </c>
      <c r="C6" s="34" t="s">
        <v>119</v>
      </c>
      <c r="D6" s="34" t="s">
        <v>120</v>
      </c>
      <c r="E6" s="34" t="s">
        <v>121</v>
      </c>
      <c r="F6" s="34" t="s">
        <v>122</v>
      </c>
      <c r="G6" s="34" t="s">
        <v>123</v>
      </c>
      <c r="H6" s="34" t="s">
        <v>124</v>
      </c>
      <c r="I6" s="34" t="s">
        <v>125</v>
      </c>
      <c r="J6" s="34" t="s">
        <v>126</v>
      </c>
      <c r="K6" s="34" t="s">
        <v>127</v>
      </c>
      <c r="L6" s="34" t="s">
        <v>128</v>
      </c>
      <c r="M6" s="34" t="s">
        <v>129</v>
      </c>
      <c r="N6" s="34" t="s">
        <v>130</v>
      </c>
      <c r="O6" s="34" t="s">
        <v>131</v>
      </c>
      <c r="P6" s="34" t="s">
        <v>132</v>
      </c>
      <c r="Q6" s="34" t="s">
        <v>133</v>
      </c>
      <c r="R6" s="34" t="s">
        <v>134</v>
      </c>
      <c r="S6" s="34" t="s">
        <v>135</v>
      </c>
      <c r="T6" s="34" t="s">
        <v>136</v>
      </c>
      <c r="U6" s="34" t="s">
        <v>137</v>
      </c>
      <c r="V6" s="34" t="s">
        <v>138</v>
      </c>
    </row>
    <row r="7" customFormat="false" ht="15" hidden="false" customHeight="true" outlineLevel="0" collapsed="false">
      <c r="C7" s="35" t="s">
        <v>139</v>
      </c>
      <c r="D7" s="35"/>
      <c r="E7" s="35"/>
      <c r="F7" s="35" t="s">
        <v>140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customFormat="false" ht="15" hidden="false" customHeight="true" outlineLevel="0" collapsed="false">
      <c r="A8" s="13" t="s">
        <v>206</v>
      </c>
    </row>
    <row r="9" customFormat="false" ht="15" hidden="false" customHeight="true" outlineLevel="0" collapsed="false">
      <c r="A9" s="36" t="s">
        <v>207</v>
      </c>
      <c r="C9" s="39" t="n">
        <f aca="false">'Construction &amp; Capex'!C11</f>
        <v>540</v>
      </c>
      <c r="D9" s="39" t="n">
        <f aca="false">'Construction &amp; Capex'!D11</f>
        <v>1260</v>
      </c>
      <c r="E9" s="39" t="n">
        <f aca="false">'Construction &amp; Capex'!E11</f>
        <v>1800</v>
      </c>
      <c r="F9" s="39" t="n">
        <f aca="false">'Construction &amp; Capex'!F11</f>
        <v>1800</v>
      </c>
      <c r="G9" s="39" t="n">
        <f aca="false">'Construction &amp; Capex'!G11</f>
        <v>1800</v>
      </c>
      <c r="H9" s="39" t="n">
        <f aca="false">'Construction &amp; Capex'!H11</f>
        <v>1800</v>
      </c>
      <c r="I9" s="39" t="n">
        <f aca="false">'Construction &amp; Capex'!I11</f>
        <v>1800</v>
      </c>
      <c r="J9" s="39" t="n">
        <f aca="false">'Construction &amp; Capex'!J11</f>
        <v>1800</v>
      </c>
      <c r="K9" s="39" t="n">
        <f aca="false">'Construction &amp; Capex'!K11</f>
        <v>1800</v>
      </c>
      <c r="L9" s="39" t="n">
        <f aca="false">'Construction &amp; Capex'!L11</f>
        <v>1800</v>
      </c>
      <c r="M9" s="39" t="n">
        <f aca="false">'Construction &amp; Capex'!M11</f>
        <v>1800</v>
      </c>
      <c r="N9" s="39" t="n">
        <f aca="false">'Construction &amp; Capex'!N11</f>
        <v>1800</v>
      </c>
      <c r="O9" s="39" t="n">
        <f aca="false">'Construction &amp; Capex'!O11</f>
        <v>1800</v>
      </c>
      <c r="P9" s="39" t="n">
        <f aca="false">'Construction &amp; Capex'!P11</f>
        <v>1800</v>
      </c>
      <c r="Q9" s="39" t="n">
        <f aca="false">'Construction &amp; Capex'!Q11</f>
        <v>1800</v>
      </c>
      <c r="R9" s="39" t="n">
        <f aca="false">'Construction &amp; Capex'!R11</f>
        <v>1800</v>
      </c>
      <c r="S9" s="39" t="n">
        <f aca="false">'Construction &amp; Capex'!S11</f>
        <v>1800</v>
      </c>
      <c r="T9" s="39" t="n">
        <f aca="false">'Construction &amp; Capex'!T11</f>
        <v>1800</v>
      </c>
      <c r="U9" s="39" t="n">
        <f aca="false">'Construction &amp; Capex'!U11</f>
        <v>1800</v>
      </c>
      <c r="V9" s="39" t="n">
        <f aca="false">'Construction &amp; Capex'!V11</f>
        <v>1800</v>
      </c>
    </row>
    <row r="10" customFormat="false" ht="15" hidden="false" customHeight="true" outlineLevel="0" collapsed="false">
      <c r="A10" s="36" t="s">
        <v>208</v>
      </c>
      <c r="C10" s="40" t="n">
        <f aca="false">-'P&amp;L'!C13</f>
        <v>0</v>
      </c>
      <c r="D10" s="40" t="n">
        <f aca="false">C10-'P&amp;L'!D13</f>
        <v>0</v>
      </c>
      <c r="E10" s="40" t="n">
        <f aca="false">D10-'P&amp;L'!E13</f>
        <v>0</v>
      </c>
      <c r="F10" s="40" t="n">
        <f aca="false">E10-'P&amp;L'!F13</f>
        <v>105.882352941176</v>
      </c>
      <c r="G10" s="40" t="n">
        <f aca="false">F10-'P&amp;L'!G13</f>
        <v>211.764705882353</v>
      </c>
      <c r="H10" s="40" t="n">
        <f aca="false">G10-'P&amp;L'!H13</f>
        <v>317.647058823529</v>
      </c>
      <c r="I10" s="40" t="n">
        <f aca="false">H10-'P&amp;L'!I13</f>
        <v>423.529411764706</v>
      </c>
      <c r="J10" s="40" t="n">
        <f aca="false">I10-'P&amp;L'!J13</f>
        <v>529.411764705882</v>
      </c>
      <c r="K10" s="40" t="n">
        <f aca="false">J10-'P&amp;L'!K13</f>
        <v>635.294117647059</v>
      </c>
      <c r="L10" s="40" t="n">
        <f aca="false">K10-'P&amp;L'!L13</f>
        <v>741.176470588235</v>
      </c>
      <c r="M10" s="40" t="n">
        <f aca="false">L10-'P&amp;L'!M13</f>
        <v>847.058823529412</v>
      </c>
      <c r="N10" s="40" t="n">
        <f aca="false">M10-'P&amp;L'!N13</f>
        <v>952.941176470588</v>
      </c>
      <c r="O10" s="40" t="n">
        <f aca="false">N10-'P&amp;L'!O13</f>
        <v>1058.82352941176</v>
      </c>
      <c r="P10" s="40" t="n">
        <f aca="false">O10-'P&amp;L'!P13</f>
        <v>1164.70588235294</v>
      </c>
      <c r="Q10" s="40" t="n">
        <f aca="false">P10-'P&amp;L'!Q13</f>
        <v>1270.58823529412</v>
      </c>
      <c r="R10" s="40" t="n">
        <f aca="false">Q10-'P&amp;L'!R13</f>
        <v>1376.47058823529</v>
      </c>
      <c r="S10" s="40" t="n">
        <f aca="false">R10-'P&amp;L'!S13</f>
        <v>1482.35294117647</v>
      </c>
      <c r="T10" s="40" t="n">
        <f aca="false">S10-'P&amp;L'!T13</f>
        <v>1588.23529411765</v>
      </c>
      <c r="U10" s="40" t="n">
        <f aca="false">T10-'P&amp;L'!U13</f>
        <v>1694.11764705882</v>
      </c>
      <c r="V10" s="40" t="n">
        <f aca="false">U10-'P&amp;L'!V13</f>
        <v>1800</v>
      </c>
    </row>
    <row r="11" customFormat="false" ht="15" hidden="false" customHeight="true" outlineLevel="0" collapsed="false">
      <c r="A11" s="41" t="s">
        <v>209</v>
      </c>
      <c r="C11" s="45" t="n">
        <f aca="false">C9-C10</f>
        <v>540</v>
      </c>
      <c r="D11" s="45" t="n">
        <f aca="false">D9-D10</f>
        <v>1260</v>
      </c>
      <c r="E11" s="45" t="n">
        <f aca="false">E9-E10</f>
        <v>1800</v>
      </c>
      <c r="F11" s="45" t="n">
        <f aca="false">F9-F10</f>
        <v>1694.11764705882</v>
      </c>
      <c r="G11" s="45" t="n">
        <f aca="false">G9-G10</f>
        <v>1588.23529411765</v>
      </c>
      <c r="H11" s="45" t="n">
        <f aca="false">H9-H10</f>
        <v>1482.35294117647</v>
      </c>
      <c r="I11" s="45" t="n">
        <f aca="false">I9-I10</f>
        <v>1376.47058823529</v>
      </c>
      <c r="J11" s="45" t="n">
        <f aca="false">J9-J10</f>
        <v>1270.58823529412</v>
      </c>
      <c r="K11" s="45" t="n">
        <f aca="false">K9-K10</f>
        <v>1164.70588235294</v>
      </c>
      <c r="L11" s="45" t="n">
        <f aca="false">L9-L10</f>
        <v>1058.82352941176</v>
      </c>
      <c r="M11" s="45" t="n">
        <f aca="false">M9-M10</f>
        <v>952.941176470588</v>
      </c>
      <c r="N11" s="45" t="n">
        <f aca="false">N9-N10</f>
        <v>847.058823529412</v>
      </c>
      <c r="O11" s="45" t="n">
        <f aca="false">O9-O10</f>
        <v>741.176470588235</v>
      </c>
      <c r="P11" s="45" t="n">
        <f aca="false">P9-P10</f>
        <v>635.294117647059</v>
      </c>
      <c r="Q11" s="45" t="n">
        <f aca="false">Q9-Q10</f>
        <v>529.411764705882</v>
      </c>
      <c r="R11" s="45" t="n">
        <f aca="false">R9-R10</f>
        <v>423.529411764706</v>
      </c>
      <c r="S11" s="45" t="n">
        <f aca="false">S9-S10</f>
        <v>317.647058823529</v>
      </c>
      <c r="T11" s="45" t="n">
        <f aca="false">T9-T10</f>
        <v>211.764705882353</v>
      </c>
      <c r="U11" s="45" t="n">
        <f aca="false">U9-U10</f>
        <v>105.882352941176</v>
      </c>
      <c r="V11" s="45" t="n">
        <f aca="false">V9-V10</f>
        <v>0</v>
      </c>
    </row>
    <row r="12" customFormat="false" ht="15" hidden="false" customHeight="true" outlineLevel="0" collapsed="false">
      <c r="A12" s="36" t="s">
        <v>210</v>
      </c>
      <c r="C12" s="39" t="n">
        <f aca="false">'Cash Flow'!C24</f>
        <v>0</v>
      </c>
      <c r="D12" s="39" t="n">
        <f aca="false">'Cash Flow'!D24</f>
        <v>0</v>
      </c>
      <c r="E12" s="39" t="n">
        <f aca="false">'Cash Flow'!E24</f>
        <v>0</v>
      </c>
      <c r="F12" s="39" t="n">
        <f aca="false">'Cash Flow'!F24</f>
        <v>19.2930882352941</v>
      </c>
      <c r="G12" s="39" t="n">
        <f aca="false">'Cash Flow'!G24</f>
        <v>57.4638354705882</v>
      </c>
      <c r="H12" s="39" t="n">
        <f aca="false">'Cash Flow'!H24</f>
        <v>115.181711072082</v>
      </c>
      <c r="I12" s="39" t="n">
        <f aca="false">'Cash Flow'!I24</f>
        <v>193.155883939392</v>
      </c>
      <c r="J12" s="39" t="n">
        <f aca="false">'Cash Flow'!J24</f>
        <v>262.13757668788</v>
      </c>
      <c r="K12" s="39" t="n">
        <f aca="false">'Cash Flow'!K24</f>
        <v>382.922559434001</v>
      </c>
      <c r="L12" s="39" t="n">
        <f aca="false">'Cash Flow'!L24</f>
        <v>526.353791462114</v>
      </c>
      <c r="M12" s="39" t="n">
        <f aca="false">'Cash Flow'!M24</f>
        <v>693.32421954214</v>
      </c>
      <c r="N12" s="39" t="n">
        <f aca="false">'Cash Flow'!N24</f>
        <v>884.77974218746</v>
      </c>
      <c r="O12" s="39" t="n">
        <f aca="false">'Cash Flow'!O24</f>
        <v>1034.22234969329</v>
      </c>
      <c r="P12" s="39" t="n">
        <f aca="false">'Cash Flow'!P24</f>
        <v>1277.71345037937</v>
      </c>
      <c r="Q12" s="39" t="n">
        <f aca="false">'Cash Flow'!Q24</f>
        <v>1548.87739407878</v>
      </c>
      <c r="R12" s="39" t="n">
        <f aca="false">'Cash Flow'!R24</f>
        <v>1955.40520456971</v>
      </c>
      <c r="S12" s="39" t="n">
        <f aca="false">'Cash Flow'!S24</f>
        <v>2384.4704083404</v>
      </c>
      <c r="T12" s="39" t="n">
        <f aca="false">'Cash Flow'!T24</f>
        <v>2769.90947281234</v>
      </c>
      <c r="U12" s="39" t="n">
        <f aca="false">'Cash Flow'!U24</f>
        <v>3248.13811792511</v>
      </c>
      <c r="V12" s="39" t="n">
        <f aca="false">'Cash Flow'!V24</f>
        <v>3753.15601581071</v>
      </c>
    </row>
    <row r="13" customFormat="false" ht="15" hidden="false" customHeight="true" outlineLevel="0" collapsed="false">
      <c r="A13" s="41" t="s">
        <v>211</v>
      </c>
      <c r="C13" s="44" t="n">
        <f aca="false">C11+C12</f>
        <v>540</v>
      </c>
      <c r="D13" s="44" t="n">
        <f aca="false">D11+D12</f>
        <v>1260</v>
      </c>
      <c r="E13" s="44" t="n">
        <f aca="false">E11+E12</f>
        <v>1800</v>
      </c>
      <c r="F13" s="44" t="n">
        <f aca="false">F11+F12</f>
        <v>1713.41073529412</v>
      </c>
      <c r="G13" s="44" t="n">
        <f aca="false">G11+G12</f>
        <v>1645.69912958824</v>
      </c>
      <c r="H13" s="44" t="n">
        <f aca="false">H11+H12</f>
        <v>1597.53465224855</v>
      </c>
      <c r="I13" s="44" t="n">
        <f aca="false">I11+I12</f>
        <v>1569.62647217469</v>
      </c>
      <c r="J13" s="44" t="n">
        <f aca="false">J11+J12</f>
        <v>1532.725811982</v>
      </c>
      <c r="K13" s="44" t="n">
        <f aca="false">K11+K12</f>
        <v>1547.62844178694</v>
      </c>
      <c r="L13" s="44" t="n">
        <f aca="false">L11+L12</f>
        <v>1585.17732087388</v>
      </c>
      <c r="M13" s="44" t="n">
        <f aca="false">M11+M12</f>
        <v>1646.26539601273</v>
      </c>
      <c r="N13" s="44" t="n">
        <f aca="false">N11+N12</f>
        <v>1731.83856571687</v>
      </c>
      <c r="O13" s="44" t="n">
        <f aca="false">O11+O12</f>
        <v>1775.39882028153</v>
      </c>
      <c r="P13" s="44" t="n">
        <f aca="false">P11+P12</f>
        <v>1913.00756802643</v>
      </c>
      <c r="Q13" s="44" t="n">
        <f aca="false">Q11+Q12</f>
        <v>2078.28915878466</v>
      </c>
      <c r="R13" s="44" t="n">
        <f aca="false">R11+R12</f>
        <v>2378.93461633441</v>
      </c>
      <c r="S13" s="44" t="n">
        <f aca="false">S11+S12</f>
        <v>2702.11746716393</v>
      </c>
      <c r="T13" s="44" t="n">
        <f aca="false">T11+T12</f>
        <v>2981.67417869469</v>
      </c>
      <c r="U13" s="44" t="n">
        <f aca="false">U11+U12</f>
        <v>3354.02047086628</v>
      </c>
      <c r="V13" s="44" t="n">
        <f aca="false">V11+V12</f>
        <v>3753.15601581071</v>
      </c>
    </row>
    <row r="14" customFormat="false" ht="15" hidden="false" customHeight="true" outlineLevel="0" collapsed="false">
      <c r="A14" s="13" t="s">
        <v>212</v>
      </c>
    </row>
    <row r="15" customFormat="false" ht="15" hidden="false" customHeight="true" outlineLevel="0" collapsed="false">
      <c r="A15" s="36" t="s">
        <v>213</v>
      </c>
      <c r="C15" s="39" t="n">
        <f aca="false">'Debt Schedule'!C13</f>
        <v>383.4</v>
      </c>
      <c r="D15" s="39" t="n">
        <f aca="false">'Debt Schedule'!D13</f>
        <v>894.6</v>
      </c>
      <c r="E15" s="39" t="n">
        <f aca="false">'Debt Schedule'!E13</f>
        <v>1278</v>
      </c>
      <c r="F15" s="39" t="n">
        <f aca="false">'Debt Schedule'!F13</f>
        <v>1171.5</v>
      </c>
      <c r="G15" s="39" t="n">
        <f aca="false">'Debt Schedule'!G13</f>
        <v>1065</v>
      </c>
      <c r="H15" s="39" t="n">
        <f aca="false">'Debt Schedule'!H13</f>
        <v>958.5</v>
      </c>
      <c r="I15" s="39" t="n">
        <f aca="false">'Debt Schedule'!I13</f>
        <v>852</v>
      </c>
      <c r="J15" s="39" t="n">
        <f aca="false">'Debt Schedule'!J13</f>
        <v>745.5</v>
      </c>
      <c r="K15" s="39" t="n">
        <f aca="false">'Debt Schedule'!K13</f>
        <v>639</v>
      </c>
      <c r="L15" s="39" t="n">
        <f aca="false">'Debt Schedule'!L13</f>
        <v>532.5</v>
      </c>
      <c r="M15" s="39" t="n">
        <f aca="false">'Debt Schedule'!M13</f>
        <v>426</v>
      </c>
      <c r="N15" s="39" t="n">
        <f aca="false">'Debt Schedule'!N13</f>
        <v>319.5</v>
      </c>
      <c r="O15" s="39" t="n">
        <f aca="false">'Debt Schedule'!O13</f>
        <v>213</v>
      </c>
      <c r="P15" s="39" t="n">
        <f aca="false">'Debt Schedule'!P13</f>
        <v>106.5</v>
      </c>
      <c r="Q15" s="39" t="n">
        <f aca="false">'Debt Schedule'!Q13</f>
        <v>0</v>
      </c>
      <c r="R15" s="39" t="n">
        <f aca="false">'Debt Schedule'!R13</f>
        <v>0</v>
      </c>
      <c r="S15" s="39" t="n">
        <f aca="false">'Debt Schedule'!S13</f>
        <v>0</v>
      </c>
      <c r="T15" s="39" t="n">
        <f aca="false">'Debt Schedule'!T13</f>
        <v>0</v>
      </c>
      <c r="U15" s="39" t="n">
        <f aca="false">'Debt Schedule'!U13</f>
        <v>0</v>
      </c>
      <c r="V15" s="39" t="n">
        <f aca="false">'Debt Schedule'!V13</f>
        <v>0</v>
      </c>
    </row>
    <row r="16" customFormat="false" ht="15" hidden="false" customHeight="true" outlineLevel="0" collapsed="false">
      <c r="A16" s="36" t="s">
        <v>214</v>
      </c>
      <c r="C16" s="40" t="n">
        <f aca="false">'Construction &amp; Capex'!C14</f>
        <v>156.6</v>
      </c>
      <c r="D16" s="40" t="n">
        <f aca="false">C16+'Construction &amp; Capex'!D14</f>
        <v>365.4</v>
      </c>
      <c r="E16" s="40" t="n">
        <f aca="false">D16+'Construction &amp; Capex'!E14</f>
        <v>522</v>
      </c>
      <c r="F16" s="40" t="n">
        <f aca="false">E16+'Construction &amp; Capex'!F14</f>
        <v>522</v>
      </c>
      <c r="G16" s="40" t="n">
        <f aca="false">F16+'Construction &amp; Capex'!G14</f>
        <v>522</v>
      </c>
      <c r="H16" s="40" t="n">
        <f aca="false">G16+'Construction &amp; Capex'!H14</f>
        <v>522</v>
      </c>
      <c r="I16" s="40" t="n">
        <f aca="false">H16+'Construction &amp; Capex'!I14</f>
        <v>522</v>
      </c>
      <c r="J16" s="40" t="n">
        <f aca="false">I16+'Construction &amp; Capex'!J14</f>
        <v>522</v>
      </c>
      <c r="K16" s="40" t="n">
        <f aca="false">J16+'Construction &amp; Capex'!K14</f>
        <v>522</v>
      </c>
      <c r="L16" s="40" t="n">
        <f aca="false">K16+'Construction &amp; Capex'!L14</f>
        <v>522</v>
      </c>
      <c r="M16" s="40" t="n">
        <f aca="false">L16+'Construction &amp; Capex'!M14</f>
        <v>522</v>
      </c>
      <c r="N16" s="40" t="n">
        <f aca="false">M16+'Construction &amp; Capex'!N14</f>
        <v>522</v>
      </c>
      <c r="O16" s="40" t="n">
        <f aca="false">N16+'Construction &amp; Capex'!O14</f>
        <v>522</v>
      </c>
      <c r="P16" s="40" t="n">
        <f aca="false">O16+'Construction &amp; Capex'!P14</f>
        <v>522</v>
      </c>
      <c r="Q16" s="40" t="n">
        <f aca="false">P16+'Construction &amp; Capex'!Q14</f>
        <v>522</v>
      </c>
      <c r="R16" s="40" t="n">
        <f aca="false">Q16+'Construction &amp; Capex'!R14</f>
        <v>522</v>
      </c>
      <c r="S16" s="40" t="n">
        <f aca="false">R16+'Construction &amp; Capex'!S14</f>
        <v>522</v>
      </c>
      <c r="T16" s="40" t="n">
        <f aca="false">S16+'Construction &amp; Capex'!T14</f>
        <v>522</v>
      </c>
      <c r="U16" s="40" t="n">
        <f aca="false">T16+'Construction &amp; Capex'!U14</f>
        <v>522</v>
      </c>
      <c r="V16" s="40" t="n">
        <f aca="false">U16+'Construction &amp; Capex'!V14</f>
        <v>522</v>
      </c>
    </row>
    <row r="17" customFormat="false" ht="15" hidden="false" customHeight="true" outlineLevel="0" collapsed="false">
      <c r="A17" s="36" t="s">
        <v>215</v>
      </c>
      <c r="C17" s="40" t="n">
        <f aca="false">'P&amp;L'!C18</f>
        <v>0</v>
      </c>
      <c r="D17" s="40" t="n">
        <f aca="false">C17+'P&amp;L'!D18</f>
        <v>0</v>
      </c>
      <c r="E17" s="40" t="n">
        <f aca="false">D17+'P&amp;L'!E18</f>
        <v>0</v>
      </c>
      <c r="F17" s="40" t="n">
        <f aca="false">E17+'P&amp;L'!F18</f>
        <v>19.9107352941177</v>
      </c>
      <c r="G17" s="40" t="n">
        <f aca="false">F17+'P&amp;L'!G18</f>
        <v>58.6991295882353</v>
      </c>
      <c r="H17" s="40" t="n">
        <f aca="false">G17+'P&amp;L'!H18</f>
        <v>117.034652248553</v>
      </c>
      <c r="I17" s="40" t="n">
        <f aca="false">H17+'P&amp;L'!I18</f>
        <v>195.626472174686</v>
      </c>
      <c r="J17" s="40" t="n">
        <f aca="false">I17+'P&amp;L'!J18</f>
        <v>265.225811981998</v>
      </c>
      <c r="K17" s="40" t="n">
        <f aca="false">J17+'P&amp;L'!K18</f>
        <v>386.628441786942</v>
      </c>
      <c r="L17" s="40" t="n">
        <f aca="false">K17+'P&amp;L'!L18</f>
        <v>530.677320873878</v>
      </c>
      <c r="M17" s="40" t="n">
        <f aca="false">L17+'P&amp;L'!M18</f>
        <v>698.265396012729</v>
      </c>
      <c r="N17" s="40" t="n">
        <f aca="false">M17+'P&amp;L'!N18</f>
        <v>890.338565716871</v>
      </c>
      <c r="O17" s="40" t="n">
        <f aca="false">N17+'P&amp;L'!O18</f>
        <v>1040.39882028153</v>
      </c>
      <c r="P17" s="40" t="n">
        <f aca="false">O17+'P&amp;L'!P18</f>
        <v>1284.50756802643</v>
      </c>
      <c r="Q17" s="40" t="n">
        <f aca="false">P17+'P&amp;L'!Q18</f>
        <v>1556.28915878466</v>
      </c>
      <c r="R17" s="40" t="n">
        <f aca="false">Q17+'P&amp;L'!R18</f>
        <v>1856.93461633441</v>
      </c>
      <c r="S17" s="40" t="n">
        <f aca="false">R17+'P&amp;L'!S18</f>
        <v>2180.11746716393</v>
      </c>
      <c r="T17" s="40" t="n">
        <f aca="false">S17+'P&amp;L'!T18</f>
        <v>2459.67417869469</v>
      </c>
      <c r="U17" s="40" t="n">
        <f aca="false">T17+'P&amp;L'!U18</f>
        <v>2832.02047086628</v>
      </c>
      <c r="V17" s="40" t="n">
        <f aca="false">U17+'P&amp;L'!V18</f>
        <v>3231.15601581071</v>
      </c>
    </row>
    <row r="18" customFormat="false" ht="15" hidden="false" customHeight="true" outlineLevel="0" collapsed="false">
      <c r="A18" s="41" t="s">
        <v>216</v>
      </c>
      <c r="C18" s="44" t="n">
        <f aca="false">C15+C16+C17</f>
        <v>540</v>
      </c>
      <c r="D18" s="44" t="n">
        <f aca="false">D15+D16+D17</f>
        <v>1260</v>
      </c>
      <c r="E18" s="44" t="n">
        <f aca="false">E15+E16+E17</f>
        <v>1800</v>
      </c>
      <c r="F18" s="44" t="n">
        <f aca="false">F15+F16+F17</f>
        <v>1713.41073529412</v>
      </c>
      <c r="G18" s="44" t="n">
        <f aca="false">G15+G16+G17</f>
        <v>1645.69912958824</v>
      </c>
      <c r="H18" s="44" t="n">
        <f aca="false">H15+H16+H17</f>
        <v>1597.53465224855</v>
      </c>
      <c r="I18" s="44" t="n">
        <f aca="false">I15+I16+I17</f>
        <v>1569.62647217469</v>
      </c>
      <c r="J18" s="44" t="n">
        <f aca="false">J15+J16+J17</f>
        <v>1532.725811982</v>
      </c>
      <c r="K18" s="44" t="n">
        <f aca="false">K15+K16+K17</f>
        <v>1547.62844178694</v>
      </c>
      <c r="L18" s="44" t="n">
        <f aca="false">L15+L16+L17</f>
        <v>1585.17732087388</v>
      </c>
      <c r="M18" s="44" t="n">
        <f aca="false">M15+M16+M17</f>
        <v>1646.26539601273</v>
      </c>
      <c r="N18" s="44" t="n">
        <f aca="false">N15+N16+N17</f>
        <v>1731.83856571687</v>
      </c>
      <c r="O18" s="44" t="n">
        <f aca="false">O15+O16+O17</f>
        <v>1775.39882028153</v>
      </c>
      <c r="P18" s="44" t="n">
        <f aca="false">P15+P16+P17</f>
        <v>1913.00756802643</v>
      </c>
      <c r="Q18" s="44" t="n">
        <f aca="false">Q15+Q16+Q17</f>
        <v>2078.28915878466</v>
      </c>
      <c r="R18" s="44" t="n">
        <f aca="false">R15+R16+R17</f>
        <v>2378.93461633441</v>
      </c>
      <c r="S18" s="44" t="n">
        <f aca="false">S15+S16+S17</f>
        <v>2702.11746716393</v>
      </c>
      <c r="T18" s="44" t="n">
        <f aca="false">T15+T16+T17</f>
        <v>2981.67417869469</v>
      </c>
      <c r="U18" s="44" t="n">
        <f aca="false">U15+U16+U17</f>
        <v>3354.02047086628</v>
      </c>
      <c r="V18" s="44" t="n">
        <f aca="false">V15+V16+V17</f>
        <v>3753.15601581071</v>
      </c>
    </row>
    <row r="20" customFormat="false" ht="15" hidden="false" customHeight="true" outlineLevel="0" collapsed="false">
      <c r="A20" s="41" t="s">
        <v>217</v>
      </c>
      <c r="C20" s="46" t="n">
        <f aca="false">C13-C18</f>
        <v>0</v>
      </c>
      <c r="D20" s="46" t="n">
        <f aca="false">D13-D18</f>
        <v>0</v>
      </c>
      <c r="E20" s="46" t="n">
        <f aca="false">E13-E18</f>
        <v>0</v>
      </c>
      <c r="F20" s="46" t="n">
        <f aca="false">F13-F18</f>
        <v>0</v>
      </c>
      <c r="G20" s="46" t="n">
        <f aca="false">G13-G18</f>
        <v>0</v>
      </c>
      <c r="H20" s="46" t="n">
        <f aca="false">H13-H18</f>
        <v>0</v>
      </c>
      <c r="I20" s="46" t="n">
        <f aca="false">I13-I18</f>
        <v>0</v>
      </c>
      <c r="J20" s="46" t="n">
        <f aca="false">J13-J18</f>
        <v>0</v>
      </c>
      <c r="K20" s="46" t="n">
        <f aca="false">K13-K18</f>
        <v>0</v>
      </c>
      <c r="L20" s="46" t="n">
        <f aca="false">L13-L18</f>
        <v>0</v>
      </c>
      <c r="M20" s="46" t="n">
        <f aca="false">M13-M18</f>
        <v>0</v>
      </c>
      <c r="N20" s="46" t="n">
        <f aca="false">N13-N18</f>
        <v>0</v>
      </c>
      <c r="O20" s="46" t="n">
        <f aca="false">O13-O18</f>
        <v>0</v>
      </c>
      <c r="P20" s="46" t="n">
        <f aca="false">P13-P18</f>
        <v>0</v>
      </c>
      <c r="Q20" s="46" t="n">
        <f aca="false">Q13-Q18</f>
        <v>0</v>
      </c>
      <c r="R20" s="46" t="n">
        <f aca="false">R13-R18</f>
        <v>0</v>
      </c>
      <c r="S20" s="46" t="n">
        <f aca="false">S13-S18</f>
        <v>0</v>
      </c>
      <c r="T20" s="46" t="n">
        <f aca="false">T13-T18</f>
        <v>0</v>
      </c>
      <c r="U20" s="46" t="n">
        <f aca="false">U13-U18</f>
        <v>0</v>
      </c>
      <c r="V20" s="46" t="n">
        <f aca="false">V13-V18</f>
        <v>0</v>
      </c>
    </row>
  </sheetData>
  <mergeCells count="3">
    <mergeCell ref="A1:V1"/>
    <mergeCell ref="A2:V2"/>
    <mergeCell ref="A3:V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2026-06-22T11:59:02Z</dcterms:created>
  <dc:creator>openpyxl</dc:creator>
  <dc:description/>
  <dc:language>en-US</dc:language>
  <cp:lastModifiedBy/>
  <dcterms:modified xsi:type="dcterms:W3CDTF">2026-06-22T12:03:28Z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