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4.xml" ContentType="application/vnd.openxmlformats-officedocument.spreadsheetml.worksheet+xml"/>
  <Override PartName="/xl/worksheets/sheet7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Cover" sheetId="1" state="visible" r:id="rId3"/>
    <sheet name="Assumptions" sheetId="2" state="visible" r:id="rId4"/>
    <sheet name="Generation &amp; Revenue" sheetId="3" state="visible" r:id="rId5"/>
    <sheet name="Debt Schedule" sheetId="4" state="visible" r:id="rId6"/>
    <sheet name="Income Statement" sheetId="5" state="visible" r:id="rId7"/>
    <sheet name="Cash Flow Statement" sheetId="6" state="visible" r:id="rId8"/>
    <sheet name="Balance Sheet" sheetId="7" state="visible" r:id="rId9"/>
    <sheet name="WACC" sheetId="8" state="visible" r:id="rId10"/>
    <sheet name="DCF Valuation" sheetId="9" state="visible" r:id="rId11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<sst xmlns="http://schemas.openxmlformats.org/spreadsheetml/2006/main" count="327" uniqueCount="265">
  <si>
    <t xml:space="preserve">Aditya Solar Energy Ltd</t>
  </si>
  <si>
    <t xml:space="preserve">Three-Statement Model &amp; DCF Valuation</t>
  </si>
  <si>
    <t xml:space="preserve">510 MW (AC) operational solar IPP portfolio — Rajasthan &amp; Gujarat, India | 25-year PPAs | INR Crore</t>
  </si>
  <si>
    <t xml:space="preserve">ILLUSTRATIVE MODEL — Not investment advice. Company, PPAs and figures are hypothetical.</t>
  </si>
  <si>
    <t xml:space="preserve">Historical actuals (FY22A–FY25A) are calibrated approximations for illustration and tie through the statements.</t>
  </si>
  <si>
    <t xml:space="preserve">Headline Valuation &amp; Returns</t>
  </si>
  <si>
    <t xml:space="preserve">Operating &amp; Financing Snapshot</t>
  </si>
  <si>
    <t xml:space="preserve">Enterprise Value (DCF, INR Cr)</t>
  </si>
  <si>
    <t xml:space="preserve">Capacity (MW AC)</t>
  </si>
  <si>
    <t xml:space="preserve">  EV — finite 25-yr life (x-check)</t>
  </si>
  <si>
    <t xml:space="preserve">Blended PPA tariff (INR/kWh)</t>
  </si>
  <si>
    <t xml:space="preserve">Less: Net debt (INR Cr)</t>
  </si>
  <si>
    <t xml:space="preserve">FY26E Revenue (INR Cr)</t>
  </si>
  <si>
    <t xml:space="preserve">Equity Value (INR Cr)</t>
  </si>
  <si>
    <t xml:space="preserve">FY26E EBITDA (INR Cr)</t>
  </si>
  <si>
    <t xml:space="preserve">Implied value per share (INR)</t>
  </si>
  <si>
    <t xml:space="preserve">FY26E EBITDA margin (%)</t>
  </si>
  <si>
    <t xml:space="preserve">EV / EBITDA (FY26E)</t>
  </si>
  <si>
    <t xml:space="preserve">Total capex (INR Cr)</t>
  </si>
  <si>
    <t xml:space="preserve">Project IRR (unlevered, 25-yr)</t>
  </si>
  <si>
    <t xml:space="preserve">Term debt (INR Cr)</t>
  </si>
  <si>
    <t xml:space="preserve">Equity IRR (levered, 25-yr)</t>
  </si>
  <si>
    <t xml:space="preserve">Minimum DSCR (x)</t>
  </si>
  <si>
    <t xml:space="preserve">WACC</t>
  </si>
  <si>
    <t xml:space="preserve">Average DSCR (x)</t>
  </si>
  <si>
    <t xml:space="preserve">Cost of Equity (Ke)</t>
  </si>
  <si>
    <t xml:space="preserve">Debt / (Debt+Equity) (%)</t>
  </si>
  <si>
    <t xml:space="preserve">Contents</t>
  </si>
  <si>
    <t xml:space="preserve">•  Assumptions — all operating, financing, tax &amp; valuation inputs</t>
  </si>
  <si>
    <t xml:space="preserve">•  Generation &amp; Revenue — PLF, degradation, tariff → EBITDA</t>
  </si>
  <si>
    <t xml:space="preserve">•  Debt Schedule — amortisation &amp; DSCR</t>
  </si>
  <si>
    <t xml:space="preserve">•  Income Statement — incl. MAT-vs-normal tax logic</t>
  </si>
  <si>
    <t xml:space="preserve">•  Cash Flow Statement — CFO/CFI/CFF &amp; cash build</t>
  </si>
  <si>
    <t xml:space="preserve">•  Balance Sheet — balances every year (check row)</t>
  </si>
  <si>
    <t xml:space="preserve">•  WACC — CAPM build (Ke, Kd, WACC)</t>
  </si>
  <si>
    <t xml:space="preserve">•  DCF Valuation — 25-yr FCFF/FCFE, EV, IRRs, per-share</t>
  </si>
  <si>
    <t xml:space="preserve">Method Notes</t>
  </si>
  <si>
    <t xml:space="preserve">Terminal value: primary EV uses 6-yr explicit forecast (FY26E–FY31E) + Gordon-growth TV at g=1.5%;</t>
  </si>
  <si>
    <t xml:space="preserve">a finite 25-yr contracted-life DCF is shown as a cross-check (no perpetuity beyond PPA life).</t>
  </si>
  <si>
    <t xml:space="preserve">Returns: Project IRR is unlevered FCFF vs TOTAL capex; Equity IRR is FCFE vs EQUITY deployed —</t>
  </si>
  <si>
    <t xml:space="preserve">both over the full 25-year asset life, NOT off DCF fair-value entry.</t>
  </si>
  <si>
    <t xml:space="preserve">Tax: higher of MAT (on book PBT) and normal tax (with 40% WDV accelerated depreciation).</t>
  </si>
  <si>
    <t xml:space="preserve">Colour key: blue = input, black = formula, green = cross-sheet link.</t>
  </si>
  <si>
    <t xml:space="preserve">Aditya Solar Energy Ltd  (Illustrative)</t>
  </si>
  <si>
    <t xml:space="preserve">Key Assumptions &amp; Drivers</t>
  </si>
  <si>
    <t xml:space="preserve">Blue = hard input | Black = calculation. Values calibrated to realistic Indian solar IPP economics.</t>
  </si>
  <si>
    <t xml:space="preserve">Operating — Portfolio</t>
  </si>
  <si>
    <t xml:space="preserve">Installed Capacity (MW AC)</t>
  </si>
  <si>
    <t xml:space="preserve">Rajasthan &amp; Gujarat, 25-yr PPAs</t>
  </si>
  <si>
    <t xml:space="preserve">Plant Load Factor — steady (%)</t>
  </si>
  <si>
    <t xml:space="preserve">P50, within 22-23% band</t>
  </si>
  <si>
    <t xml:space="preserve">PLF — FY22A actual (%)</t>
  </si>
  <si>
    <t xml:space="preserve">calibrated approx</t>
  </si>
  <si>
    <t xml:space="preserve">Annual degradation (%)</t>
  </si>
  <si>
    <t xml:space="preserve">module degradation</t>
  </si>
  <si>
    <t xml:space="preserve">Availability (%)</t>
  </si>
  <si>
    <t xml:space="preserve">grid + plant availability</t>
  </si>
  <si>
    <t xml:space="preserve">Hours per year</t>
  </si>
  <si>
    <t xml:space="preserve">Tariff &amp; Revenue</t>
  </si>
  <si>
    <t xml:space="preserve">legacy-heavy mix (older ~3.5 + recent ~2.5)</t>
  </si>
  <si>
    <t xml:space="preserve">Tariff escalation (%)</t>
  </si>
  <si>
    <t xml:space="preserve">flat contracted</t>
  </si>
  <si>
    <t xml:space="preserve">Cost Structure</t>
  </si>
  <si>
    <t xml:space="preserve">O&amp;M cost (INR Cr/MW/yr)</t>
  </si>
  <si>
    <t xml:space="preserve">comprehensive O&amp;M</t>
  </si>
  <si>
    <t xml:space="preserve">O&amp;M / cost escalation (%)</t>
  </si>
  <si>
    <t xml:space="preserve">Insurance (% of capex)</t>
  </si>
  <si>
    <t xml:space="preserve">Land lease — base (INR Cr)</t>
  </si>
  <si>
    <t xml:space="preserve">escalates with cost esc.</t>
  </si>
  <si>
    <t xml:space="preserve">Capex &amp; Financing</t>
  </si>
  <si>
    <t xml:space="preserve">Total project cost / capex (INR Cr)</t>
  </si>
  <si>
    <t xml:space="preserve">~INR 3.80 Cr/MW</t>
  </si>
  <si>
    <t xml:space="preserve">Debt funding (%)</t>
  </si>
  <si>
    <t xml:space="preserve">balance equity</t>
  </si>
  <si>
    <t xml:space="preserve">green-linked in Debt sheet</t>
  </si>
  <si>
    <t xml:space="preserve">Equity funded (INR Cr)</t>
  </si>
  <si>
    <t xml:space="preserve">Interest rate on term debt (%)</t>
  </si>
  <si>
    <t xml:space="preserve">Amortisation tenor (years)</t>
  </si>
  <si>
    <t xml:space="preserve">door-to-door ~ PPA-aligned</t>
  </si>
  <si>
    <t xml:space="preserve">Maintenance capex (INR Cr/yr)</t>
  </si>
  <si>
    <t xml:space="preserve">inverter/module reserve</t>
  </si>
  <si>
    <t xml:space="preserve">Net working capital (days of rev)</t>
  </si>
  <si>
    <t xml:space="preserve">Opening cash (INR Cr)</t>
  </si>
  <si>
    <t xml:space="preserve">Tax</t>
  </si>
  <si>
    <t xml:space="preserve">Effective tax rate — normal (%)</t>
  </si>
  <si>
    <t xml:space="preserve">new regime incl. surcharge+cess</t>
  </si>
  <si>
    <t xml:space="preserve">MAT rate (%)</t>
  </si>
  <si>
    <t xml:space="preserve">Tax (accelerated) depreciation — WDV (%)</t>
  </si>
  <si>
    <t xml:space="preserve">40% WDV block</t>
  </si>
  <si>
    <t xml:space="preserve">Book depreciation life (years)</t>
  </si>
  <si>
    <t xml:space="preserve">straight-line</t>
  </si>
  <si>
    <t xml:space="preserve">Valuation &amp; Returns</t>
  </si>
  <si>
    <t xml:space="preserve">Shares outstanding (Cr)</t>
  </si>
  <si>
    <t xml:space="preserve">Asset / PPA life (years)</t>
  </si>
  <si>
    <t xml:space="preserve">Terminal growth g (%)</t>
  </si>
  <si>
    <t xml:space="preserve">Gordon cross-check</t>
  </si>
  <si>
    <t xml:space="preserve">Generation &amp; Revenue Build</t>
  </si>
  <si>
    <t xml:space="preserve">Green = links from Assumptions | Black = formulas.</t>
  </si>
  <si>
    <t xml:space="preserve">INR Crore</t>
  </si>
  <si>
    <t xml:space="preserve">FY22A</t>
  </si>
  <si>
    <t xml:space="preserve">FY23A</t>
  </si>
  <si>
    <t xml:space="preserve">FY24A</t>
  </si>
  <si>
    <t xml:space="preserve">FY25A</t>
  </si>
  <si>
    <t xml:space="preserve">FY26E</t>
  </si>
  <si>
    <t xml:space="preserve">FY27E</t>
  </si>
  <si>
    <t xml:space="preserve">FY28E</t>
  </si>
  <si>
    <t xml:space="preserve">FY29E</t>
  </si>
  <si>
    <t xml:space="preserve">FY30E</t>
  </si>
  <si>
    <t xml:space="preserve">FY31E</t>
  </si>
  <si>
    <t xml:space="preserve">Capacity (MW)</t>
  </si>
  <si>
    <t xml:space="preserve">PLF (%)</t>
  </si>
  <si>
    <t xml:space="preserve">Net Generation (mn kWh)</t>
  </si>
  <si>
    <t xml:space="preserve">Blended tariff (INR/kWh)</t>
  </si>
  <si>
    <t xml:space="preserve">Revenue (INR Cr)</t>
  </si>
  <si>
    <t xml:space="preserve">Operating Costs</t>
  </si>
  <si>
    <t xml:space="preserve">O&amp;M (INR Cr)</t>
  </si>
  <si>
    <t xml:space="preserve">Insurance (INR Cr)</t>
  </si>
  <si>
    <t xml:space="preserve">Land lease &amp; admin (INR Cr)</t>
  </si>
  <si>
    <t xml:space="preserve">Total Opex (INR Cr)</t>
  </si>
  <si>
    <t xml:space="preserve">EBITDA (INR Cr)</t>
  </si>
  <si>
    <t xml:space="preserve">EBITDA margin (%)</t>
  </si>
  <si>
    <t xml:space="preserve">Senior Term Debt Schedule</t>
  </si>
  <si>
    <t xml:space="preserve">Equal-principal amortisation. Green = Assumptions links.</t>
  </si>
  <si>
    <t xml:space="preserve">Opening balance</t>
  </si>
  <si>
    <t xml:space="preserve">Interest @ rate</t>
  </si>
  <si>
    <t xml:space="preserve">Principal repayment</t>
  </si>
  <si>
    <t xml:space="preserve">Closing balance</t>
  </si>
  <si>
    <t xml:space="preserve">Debt service (Int+Prin)</t>
  </si>
  <si>
    <t xml:space="preserve">Debt Service Coverage</t>
  </si>
  <si>
    <t xml:space="preserve">CFADS (EBITDA − tax − ΔNWC − maint capex)</t>
  </si>
  <si>
    <t xml:space="preserve">DSCR (x)</t>
  </si>
  <si>
    <t xml:space="preserve">Minimum DSCR (debt tenor)</t>
  </si>
  <si>
    <t xml:space="preserve">Average DSCR (debt tenor)</t>
  </si>
  <si>
    <t xml:space="preserve">Income Statement</t>
  </si>
  <si>
    <t xml:space="preserve">Green = cross-sheet links | Black = formulas. INR Crore.</t>
  </si>
  <si>
    <t xml:space="preserve">Revenue</t>
  </si>
  <si>
    <t xml:space="preserve">Total Opex</t>
  </si>
  <si>
    <t xml:space="preserve">EBITDA</t>
  </si>
  <si>
    <t xml:space="preserve">Depreciation (book, SL)</t>
  </si>
  <si>
    <t xml:space="preserve">EBIT</t>
  </si>
  <si>
    <t xml:space="preserve">Interest expense</t>
  </si>
  <si>
    <t xml:space="preserve">Profit before tax</t>
  </si>
  <si>
    <t xml:space="preserve">Tax — MAT vs Normal (accelerated depreciation)</t>
  </si>
  <si>
    <t xml:space="preserve">Tax depreciation (WDV) — memo</t>
  </si>
  <si>
    <t xml:space="preserve">Taxable income (normal)</t>
  </si>
  <si>
    <t xml:space="preserve">Normal tax</t>
  </si>
  <si>
    <t xml:space="preserve">MAT (on book PBT)</t>
  </si>
  <si>
    <t xml:space="preserve">Tax expense (higher of MAT/normal)</t>
  </si>
  <si>
    <t xml:space="preserve">Net Profit After Tax (PAT)</t>
  </si>
  <si>
    <t xml:space="preserve">PAT margin (%)</t>
  </si>
  <si>
    <t xml:space="preserve">Cash Flow Statement</t>
  </si>
  <si>
    <t xml:space="preserve">Operating</t>
  </si>
  <si>
    <t xml:space="preserve">PAT</t>
  </si>
  <si>
    <t xml:space="preserve">Add: Depreciation</t>
  </si>
  <si>
    <t xml:space="preserve">Less: ΔNet working capital</t>
  </si>
  <si>
    <t xml:space="preserve">Cash flow from operations</t>
  </si>
  <si>
    <t xml:space="preserve">Investing</t>
  </si>
  <si>
    <t xml:space="preserve">Maintenance capex</t>
  </si>
  <si>
    <t xml:space="preserve">Cash flow from investing</t>
  </si>
  <si>
    <t xml:space="preserve">Financing</t>
  </si>
  <si>
    <t xml:space="preserve">Debt repayment</t>
  </si>
  <si>
    <t xml:space="preserve">Dividends paid</t>
  </si>
  <si>
    <t xml:space="preserve">Cash flow from financing</t>
  </si>
  <si>
    <t xml:space="preserve">Net change in cash</t>
  </si>
  <si>
    <t xml:space="preserve">Opening cash</t>
  </si>
  <si>
    <t xml:space="preserve">Closing cash</t>
  </si>
  <si>
    <t xml:space="preserve">Balance Sheet</t>
  </si>
  <si>
    <t xml:space="preserve">Assets</t>
  </si>
  <si>
    <t xml:space="preserve">Gross block (PP&amp;E)</t>
  </si>
  <si>
    <t xml:space="preserve">Accumulated depreciation</t>
  </si>
  <si>
    <t xml:space="preserve">Net block</t>
  </si>
  <si>
    <t xml:space="preserve">Receivables / net WC</t>
  </si>
  <si>
    <t xml:space="preserve">Cash &amp; equivalents</t>
  </si>
  <si>
    <t xml:space="preserve">Total Assets</t>
  </si>
  <si>
    <t xml:space="preserve">Liabilities &amp; Equity</t>
  </si>
  <si>
    <t xml:space="preserve">Term debt</t>
  </si>
  <si>
    <t xml:space="preserve">Share capital / paid-in</t>
  </si>
  <si>
    <t xml:space="preserve">Retained earnings</t>
  </si>
  <si>
    <t xml:space="preserve">Total Equity</t>
  </si>
  <si>
    <t xml:space="preserve">Total Liab. &amp; Equity</t>
  </si>
  <si>
    <t xml:space="preserve">Balance check (Assets − L&amp;E)</t>
  </si>
  <si>
    <t xml:space="preserve">Weighted Average Cost of Capital (CAPM)</t>
  </si>
  <si>
    <t xml:space="preserve">Blue = input | Black = formula. Every build line shown.</t>
  </si>
  <si>
    <t xml:space="preserve">Cost of Equity — CAPM</t>
  </si>
  <si>
    <t xml:space="preserve">Risk-free rate (Rf)</t>
  </si>
  <si>
    <t xml:space="preserve">10-yr G-Sec (illustrative)</t>
  </si>
  <si>
    <t xml:space="preserve">Equity beta (β)</t>
  </si>
  <si>
    <t xml:space="preserve">regulated/contracted solar</t>
  </si>
  <si>
    <t xml:space="preserve">Equity risk premium (ERP)</t>
  </si>
  <si>
    <t xml:space="preserve">India ERP</t>
  </si>
  <si>
    <t xml:space="preserve">Size / illiquidity premium</t>
  </si>
  <si>
    <t xml:space="preserve">Cost of Equity  (Ke = Rf + β×ERP + size)</t>
  </si>
  <si>
    <t xml:space="preserve">Cost of Debt</t>
  </si>
  <si>
    <t xml:space="preserve">Pre-tax cost of debt (Kd)</t>
  </si>
  <si>
    <t xml:space="preserve">Tax rate</t>
  </si>
  <si>
    <t xml:space="preserve">After-tax cost of debt  (Kd×(1−t))</t>
  </si>
  <si>
    <t xml:space="preserve">Capital Structure (target)</t>
  </si>
  <si>
    <t xml:space="preserve">Equity weight</t>
  </si>
  <si>
    <t xml:space="preserve">Debt weight</t>
  </si>
  <si>
    <t xml:space="preserve">WACC  (We×Ke + Wd×Kd_at)</t>
  </si>
  <si>
    <t xml:space="preserve">DCF Valuation &amp; Returns (over 25-yr asset life)</t>
  </si>
  <si>
    <t xml:space="preserve">Green = links | Black = formulas | Blue = input. IRRs computed off ACTUAL capital deployed, not fair value.</t>
  </si>
  <si>
    <t xml:space="preserve">Year index (t)</t>
  </si>
  <si>
    <t xml:space="preserve">Fiscal year</t>
  </si>
  <si>
    <t xml:space="preserve">Inv.</t>
  </si>
  <si>
    <t xml:space="preserve">FY22</t>
  </si>
  <si>
    <t xml:space="preserve">FY23</t>
  </si>
  <si>
    <t xml:space="preserve">FY24</t>
  </si>
  <si>
    <t xml:space="preserve">FY25</t>
  </si>
  <si>
    <t xml:space="preserve">FY26</t>
  </si>
  <si>
    <t xml:space="preserve">FY27</t>
  </si>
  <si>
    <t xml:space="preserve">FY28</t>
  </si>
  <si>
    <t xml:space="preserve">FY29</t>
  </si>
  <si>
    <t xml:space="preserve">FY30</t>
  </si>
  <si>
    <t xml:space="preserve">FY31</t>
  </si>
  <si>
    <t xml:space="preserve">FY32</t>
  </si>
  <si>
    <t xml:space="preserve">FY33</t>
  </si>
  <si>
    <t xml:space="preserve">FY34</t>
  </si>
  <si>
    <t xml:space="preserve">FY35</t>
  </si>
  <si>
    <t xml:space="preserve">FY36</t>
  </si>
  <si>
    <t xml:space="preserve">FY37</t>
  </si>
  <si>
    <t xml:space="preserve">FY38</t>
  </si>
  <si>
    <t xml:space="preserve">FY39</t>
  </si>
  <si>
    <t xml:space="preserve">FY40</t>
  </si>
  <si>
    <t xml:space="preserve">FY41</t>
  </si>
  <si>
    <t xml:space="preserve">FY42</t>
  </si>
  <si>
    <t xml:space="preserve">FY43</t>
  </si>
  <si>
    <t xml:space="preserve">FY44</t>
  </si>
  <si>
    <t xml:space="preserve">FY45</t>
  </si>
  <si>
    <t xml:space="preserve">FY46</t>
  </si>
  <si>
    <t xml:space="preserve">Generation (mn kWh)</t>
  </si>
  <si>
    <t xml:space="preserve">Opex</t>
  </si>
  <si>
    <t xml:space="preserve">Tax deprec. (WDV 40%)</t>
  </si>
  <si>
    <t xml:space="preserve">Debt — opening</t>
  </si>
  <si>
    <t xml:space="preserve">Interest</t>
  </si>
  <si>
    <t xml:space="preserve">Principal</t>
  </si>
  <si>
    <t xml:space="preserve">Debt — closing</t>
  </si>
  <si>
    <t xml:space="preserve">ΔNWC</t>
  </si>
  <si>
    <t xml:space="preserve">Unlevered tax</t>
  </si>
  <si>
    <t xml:space="preserve">Levered tax (MAT vs normal)</t>
  </si>
  <si>
    <t xml:space="preserve">Unlevered FCFF</t>
  </si>
  <si>
    <t xml:space="preserve">Free cash flow to equity (FCFE)</t>
  </si>
  <si>
    <t xml:space="preserve">Discount factor (mid-yr, from end-FY25A)</t>
  </si>
  <si>
    <t xml:space="preserve">PV of FCFF</t>
  </si>
  <si>
    <t xml:space="preserve">Enterprise Value — DCF (primary: explicit + Gordon TV)</t>
  </si>
  <si>
    <t xml:space="preserve">PV of explicit FCFF (FY26E–FY31E)</t>
  </si>
  <si>
    <t xml:space="preserve">6-yr explicit horizon</t>
  </si>
  <si>
    <t xml:space="preserve">Terminal FCFF base (FY31E)</t>
  </si>
  <si>
    <t xml:space="preserve">Terminal value (Gordon, g)</t>
  </si>
  <si>
    <t xml:space="preserve">g cross-check on 25-yr contracted life</t>
  </si>
  <si>
    <t xml:space="preserve">PV of terminal value</t>
  </si>
  <si>
    <t xml:space="preserve">Enterprise Value (EV)</t>
  </si>
  <si>
    <t xml:space="preserve">EV — finite 25-yr life (cross-check)</t>
  </si>
  <si>
    <t xml:space="preserve">pure contracted-life, no perpetuity</t>
  </si>
  <si>
    <t xml:space="preserve">Equity Value &amp; Per Share</t>
  </si>
  <si>
    <t xml:space="preserve">Less: Net debt (end FY25A)</t>
  </si>
  <si>
    <t xml:space="preserve">Equity Value</t>
  </si>
  <si>
    <t xml:space="preserve">on FY26E EBITDA</t>
  </si>
  <si>
    <t xml:space="preserve">Return Metrics (over 25-yr asset life, off capital deployed)</t>
  </si>
  <si>
    <t xml:space="preserve">Project IRR — unlevered (off total capex)</t>
  </si>
  <si>
    <t xml:space="preserve">vs WACC — value created if &gt; WACC</t>
  </si>
  <si>
    <t xml:space="preserve">Equity IRR — levered (off equity deployed)</t>
  </si>
  <si>
    <t xml:space="preserve">vs Ke — value created if &gt; Ke</t>
  </si>
  <si>
    <t xml:space="preserve">WACC (memo)</t>
  </si>
  <si>
    <t xml:space="preserve">Cost of equity Ke (memo)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</si>
</sst>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#,##0;\(#,##0\);\-"/>
    <numFmt numFmtId="166" formatCode="#,##0.00"/>
    <numFmt numFmtId="167" formatCode="0.0%"/>
    <numFmt numFmtId="168" formatCode="0.00\x"/>
    <numFmt numFmtId="169" formatCode="0.00%"/>
    <numFmt numFmtId="170" formatCode="0.00\x"/>
    <numFmt numFmtId="171" formatCode="0.000"/>
    <numFmt numFmtId="172" formatCode="#,##0.0;\(#,##0.0\);\-"/>
    <numFmt numFmtId="173" formatCode="#,##0;\(#,##0\);&quot;OK&quot;"/>
    <numFmt numFmtId="174" formatCode="0.00"/>
  </numFmts>
  <fonts count="2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1F3864"/>
      <name val="Arial"/>
      <family val="0"/>
      <charset val="1"/>
    </font>
    <font>
      <b val="true"/>
      <sz val="13"/>
      <color rgb="FF2E5496"/>
      <name val="Arial"/>
      <family val="0"/>
      <charset val="1"/>
    </font>
    <font>
      <i val="true"/>
      <sz val="10"/>
      <color rgb="FF7F7F7F"/>
      <name val="Arial"/>
      <family val="0"/>
      <charset val="1"/>
    </font>
    <font>
      <b val="true"/>
      <sz val="10"/>
      <color rgb="FFC00000"/>
      <name val="Arial"/>
      <family val="0"/>
      <charset val="1"/>
    </font>
    <font>
      <i val="true"/>
      <sz val="9"/>
      <color rgb="FF7F7F7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color rgb="FF008000"/>
      <name val="Arial"/>
      <family val="0"/>
      <charset val="1"/>
    </font>
    <font>
      <sz val="9"/>
      <color rgb="FF000000"/>
      <name val="Arial"/>
      <family val="0"/>
      <charset val="1"/>
    </font>
    <font>
      <b val="true"/>
      <sz val="14"/>
      <color rgb="FF1F3864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FF"/>
      <name val="Arial"/>
      <family val="0"/>
      <charset val="1"/>
    </font>
    <font>
      <sz val="10"/>
      <color rgb="FF00800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i val="true"/>
      <sz val="9"/>
      <color rgb="FF000000"/>
      <name val="Arial"/>
      <family val="0"/>
      <charset val="1"/>
    </font>
    <font>
      <i val="true"/>
      <sz val="8"/>
      <color rgb="FF7F7F7F"/>
      <name val="Arial"/>
      <family val="0"/>
      <charset val="1"/>
    </font>
    <font>
      <sz val="10"/>
      <color rgb="FF7F7F7F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F2F2F2"/>
        <bgColor rgb="FFFFFFFF"/>
      </patternFill>
    </fill>
    <fill>
      <patternFill patternType="solid">
        <fgColor rgb="FF2E5496"/>
        <bgColor rgb="FF1F3864"/>
      </patternFill>
    </fill>
    <fill>
      <patternFill patternType="solid">
        <fgColor rgb="FFFFF2CC"/>
        <bgColor rgb="FFF2F2F2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n">
        <color rgb="FFBFBFBF"/>
      </top>
      <bottom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1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1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1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1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1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1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18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2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FF2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F3864"/>
      <rgbColor rgb="FF339966"/>
      <rgbColor rgb="FF003300"/>
      <rgbColor rgb="FF333300"/>
      <rgbColor rgb="FF993300"/>
      <rgbColor rgb="FF993366"/>
      <rgbColor rgb="FF2E5496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F3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44"/>
    <col collapsed="false" customWidth="true" hidden="false" outlineLevel="0" max="3" min="3" style="0" width="20"/>
    <col collapsed="false" customWidth="true" hidden="false" outlineLevel="0" max="4" min="4" style="0" width="3"/>
    <col collapsed="false" customWidth="true" hidden="false" outlineLevel="0" max="5" min="5" style="0" width="44"/>
    <col collapsed="false" customWidth="true" hidden="false" outlineLevel="0" max="6" min="6" style="0" width="20"/>
  </cols>
  <sheetData>
    <row r="2" customFormat="false" ht="24.45" hidden="false" customHeight="false" outlineLevel="0" collapsed="false">
      <c r="B2" s="1" t="s">
        <v>0</v>
      </c>
    </row>
    <row r="3" customFormat="false" ht="16.15" hidden="false" customHeight="false" outlineLevel="0" collapsed="false">
      <c r="B3" s="2" t="s">
        <v>1</v>
      </c>
    </row>
    <row r="4" customFormat="false" ht="15" hidden="false" customHeight="false" outlineLevel="0" collapsed="false">
      <c r="B4" s="3" t="s">
        <v>2</v>
      </c>
    </row>
    <row r="6" customFormat="false" ht="15" hidden="false" customHeight="false" outlineLevel="0" collapsed="false">
      <c r="B6" s="4" t="s">
        <v>3</v>
      </c>
    </row>
    <row r="7" customFormat="false" ht="15" hidden="false" customHeight="false" outlineLevel="0" collapsed="false">
      <c r="B7" s="5" t="s">
        <v>4</v>
      </c>
    </row>
    <row r="9" customFormat="false" ht="15" hidden="false" customHeight="false" outlineLevel="0" collapsed="false">
      <c r="B9" s="6" t="s">
        <v>5</v>
      </c>
      <c r="C9" s="7"/>
      <c r="D9" s="7"/>
      <c r="E9" s="6" t="s">
        <v>6</v>
      </c>
      <c r="F9" s="7"/>
    </row>
    <row r="10" customFormat="false" ht="15" hidden="false" customHeight="false" outlineLevel="0" collapsed="false">
      <c r="B10" s="8" t="s">
        <v>7</v>
      </c>
      <c r="C10" s="9" t="n">
        <f aca="false">'DCF Valuation'!C33</f>
        <v>2509.94610701847</v>
      </c>
      <c r="E10" s="8" t="s">
        <v>8</v>
      </c>
      <c r="F10" s="9" t="n">
        <f aca="false">Assumptions!$C$7</f>
        <v>510</v>
      </c>
    </row>
    <row r="11" customFormat="false" ht="15" hidden="false" customHeight="false" outlineLevel="0" collapsed="false">
      <c r="B11" s="8" t="s">
        <v>9</v>
      </c>
      <c r="C11" s="9" t="n">
        <f aca="false">'DCF Valuation'!C34</f>
        <v>1840.48397679509</v>
      </c>
      <c r="E11" s="8" t="s">
        <v>10</v>
      </c>
      <c r="F11" s="10" t="n">
        <f aca="false">Assumptions!$C$14</f>
        <v>3.15</v>
      </c>
    </row>
    <row r="12" customFormat="false" ht="15" hidden="false" customHeight="false" outlineLevel="0" collapsed="false">
      <c r="B12" s="8" t="s">
        <v>11</v>
      </c>
      <c r="C12" s="9" t="n">
        <f aca="false">'DCF Valuation'!C37</f>
        <v>1101.24</v>
      </c>
      <c r="E12" s="8" t="s">
        <v>12</v>
      </c>
      <c r="F12" s="9" t="n">
        <f aca="false">'Generation &amp; Revenue'!G13</f>
        <v>314.29373359968</v>
      </c>
    </row>
    <row r="13" customFormat="false" ht="15" hidden="false" customHeight="false" outlineLevel="0" collapsed="false">
      <c r="B13" s="8" t="s">
        <v>13</v>
      </c>
      <c r="C13" s="9" t="n">
        <f aca="false">'DCF Valuation'!C38</f>
        <v>1408.70610701847</v>
      </c>
      <c r="E13" s="8" t="s">
        <v>14</v>
      </c>
      <c r="F13" s="9" t="n">
        <f aca="false">'Generation &amp; Revenue'!G21</f>
        <v>273.4443688248</v>
      </c>
    </row>
    <row r="14" customFormat="false" ht="15" hidden="false" customHeight="false" outlineLevel="0" collapsed="false">
      <c r="B14" s="8" t="s">
        <v>15</v>
      </c>
      <c r="C14" s="10" t="n">
        <f aca="false">'DCF Valuation'!C40</f>
        <v>29.3480438962181</v>
      </c>
      <c r="E14" s="8" t="s">
        <v>16</v>
      </c>
      <c r="F14" s="11" t="n">
        <f aca="false">'Generation &amp; Revenue'!G22</f>
        <v>0.87002806480733</v>
      </c>
    </row>
    <row r="15" customFormat="false" ht="15" hidden="false" customHeight="false" outlineLevel="0" collapsed="false">
      <c r="B15" s="8" t="s">
        <v>17</v>
      </c>
      <c r="C15" s="12" t="n">
        <f aca="false">'DCF Valuation'!C41</f>
        <v>9.17900089808259</v>
      </c>
      <c r="E15" s="8" t="s">
        <v>18</v>
      </c>
      <c r="F15" s="9" t="n">
        <f aca="false">Assumptions!$C$22</f>
        <v>1940</v>
      </c>
    </row>
    <row r="16" customFormat="false" ht="15" hidden="false" customHeight="false" outlineLevel="0" collapsed="false">
      <c r="B16" s="8" t="s">
        <v>19</v>
      </c>
      <c r="C16" s="13" t="n">
        <f aca="false">'DCF Valuation'!C44</f>
        <v>0.105295933469601</v>
      </c>
      <c r="E16" s="8" t="s">
        <v>20</v>
      </c>
      <c r="F16" s="9" t="n">
        <f aca="false">Assumptions!$C$24</f>
        <v>1445.3</v>
      </c>
    </row>
    <row r="17" customFormat="false" ht="15" hidden="false" customHeight="false" outlineLevel="0" collapsed="false">
      <c r="B17" s="8" t="s">
        <v>21</v>
      </c>
      <c r="C17" s="13" t="n">
        <f aca="false">'DCF Valuation'!C45</f>
        <v>0.146496387768279</v>
      </c>
      <c r="E17" s="8" t="s">
        <v>22</v>
      </c>
      <c r="F17" s="14" t="n">
        <f aca="false">'Debt Schedule'!C18</f>
        <v>1.31233820567733</v>
      </c>
    </row>
    <row r="18" customFormat="false" ht="15" hidden="false" customHeight="false" outlineLevel="0" collapsed="false">
      <c r="B18" s="8" t="s">
        <v>23</v>
      </c>
      <c r="C18" s="13" t="n">
        <f aca="false">WACC!C22</f>
        <v>0.09356305</v>
      </c>
      <c r="E18" s="8" t="s">
        <v>24</v>
      </c>
      <c r="F18" s="14" t="n">
        <f aca="false">'Debt Schedule'!C19</f>
        <v>1.40753346121236</v>
      </c>
    </row>
    <row r="19" customFormat="false" ht="15" hidden="false" customHeight="false" outlineLevel="0" collapsed="false">
      <c r="B19" s="8" t="s">
        <v>25</v>
      </c>
      <c r="C19" s="13" t="n">
        <f aca="false">WACC!C11</f>
        <v>0.14225</v>
      </c>
      <c r="E19" s="8" t="s">
        <v>26</v>
      </c>
      <c r="F19" s="11" t="n">
        <f aca="false">Assumptions!$C$23</f>
        <v>0.745</v>
      </c>
    </row>
    <row r="21" customFormat="false" ht="15" hidden="false" customHeight="false" outlineLevel="0" collapsed="false">
      <c r="B21" s="6" t="s">
        <v>27</v>
      </c>
      <c r="C21" s="7"/>
      <c r="D21" s="7"/>
      <c r="E21" s="7"/>
      <c r="F21" s="7"/>
    </row>
    <row r="22" customFormat="false" ht="15" hidden="false" customHeight="false" outlineLevel="0" collapsed="false">
      <c r="B22" s="15" t="s">
        <v>28</v>
      </c>
    </row>
    <row r="23" customFormat="false" ht="15" hidden="false" customHeight="false" outlineLevel="0" collapsed="false">
      <c r="B23" s="15" t="s">
        <v>29</v>
      </c>
    </row>
    <row r="24" customFormat="false" ht="15" hidden="false" customHeight="false" outlineLevel="0" collapsed="false">
      <c r="B24" s="15" t="s">
        <v>30</v>
      </c>
    </row>
    <row r="25" customFormat="false" ht="15" hidden="false" customHeight="false" outlineLevel="0" collapsed="false">
      <c r="B25" s="15" t="s">
        <v>31</v>
      </c>
    </row>
    <row r="26" customFormat="false" ht="15" hidden="false" customHeight="false" outlineLevel="0" collapsed="false">
      <c r="B26" s="15" t="s">
        <v>32</v>
      </c>
    </row>
    <row r="27" customFormat="false" ht="15" hidden="false" customHeight="false" outlineLevel="0" collapsed="false">
      <c r="B27" s="15" t="s">
        <v>33</v>
      </c>
    </row>
    <row r="28" customFormat="false" ht="15" hidden="false" customHeight="false" outlineLevel="0" collapsed="false">
      <c r="B28" s="15" t="s">
        <v>34</v>
      </c>
    </row>
    <row r="29" customFormat="false" ht="15" hidden="false" customHeight="false" outlineLevel="0" collapsed="false">
      <c r="B29" s="15" t="s">
        <v>35</v>
      </c>
    </row>
    <row r="31" customFormat="false" ht="15" hidden="false" customHeight="false" outlineLevel="0" collapsed="false">
      <c r="B31" s="6" t="s">
        <v>36</v>
      </c>
      <c r="C31" s="7"/>
      <c r="D31" s="7"/>
      <c r="E31" s="7"/>
      <c r="F31" s="7"/>
    </row>
    <row r="32" customFormat="false" ht="15" hidden="false" customHeight="false" outlineLevel="0" collapsed="false">
      <c r="B32" s="5" t="s">
        <v>37</v>
      </c>
    </row>
    <row r="33" customFormat="false" ht="15" hidden="false" customHeight="false" outlineLevel="0" collapsed="false">
      <c r="B33" s="5" t="s">
        <v>38</v>
      </c>
    </row>
    <row r="34" customFormat="false" ht="15" hidden="false" customHeight="false" outlineLevel="0" collapsed="false">
      <c r="B34" s="5" t="s">
        <v>39</v>
      </c>
    </row>
    <row r="35" customFormat="false" ht="15" hidden="false" customHeight="false" outlineLevel="0" collapsed="false">
      <c r="B35" s="5" t="s">
        <v>40</v>
      </c>
    </row>
    <row r="36" customFormat="false" ht="15" hidden="false" customHeight="false" outlineLevel="0" collapsed="false">
      <c r="B36" s="5" t="s">
        <v>41</v>
      </c>
    </row>
    <row r="37" customFormat="false" ht="15" hidden="false" customHeight="false" outlineLevel="0" collapsed="false">
      <c r="B37" s="5" t="s">
        <v>42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L3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8"/>
    <col collapsed="false" customWidth="true" hidden="false" outlineLevel="0" max="12" min="3" style="0" width="13"/>
  </cols>
  <sheetData>
    <row r="2" customFormat="false" ht="17.35" hidden="false" customHeight="false" outlineLevel="0" collapsed="false">
      <c r="B2" s="16" t="s">
        <v>43</v>
      </c>
    </row>
    <row r="3" customFormat="false" ht="15" hidden="false" customHeight="false" outlineLevel="0" collapsed="false">
      <c r="B3" s="17" t="s">
        <v>44</v>
      </c>
    </row>
    <row r="4" customFormat="false" ht="15" hidden="false" customHeight="false" outlineLevel="0" collapsed="false">
      <c r="B4" s="5" t="s">
        <v>45</v>
      </c>
    </row>
    <row r="6" customFormat="false" ht="15" hidden="false" customHeight="false" outlineLevel="0" collapsed="false">
      <c r="B6" s="18" t="s">
        <v>46</v>
      </c>
      <c r="C6" s="19"/>
      <c r="D6" s="19"/>
      <c r="E6" s="19"/>
      <c r="F6" s="19"/>
      <c r="G6" s="19"/>
      <c r="H6" s="19"/>
      <c r="I6" s="19"/>
      <c r="J6" s="19"/>
      <c r="K6" s="19"/>
      <c r="L6" s="19"/>
    </row>
    <row r="7" customFormat="false" ht="15" hidden="false" customHeight="false" outlineLevel="0" collapsed="false">
      <c r="B7" s="20" t="s">
        <v>47</v>
      </c>
      <c r="C7" s="21" t="n">
        <v>510</v>
      </c>
      <c r="E7" s="5" t="s">
        <v>48</v>
      </c>
    </row>
    <row r="8" customFormat="false" ht="15" hidden="false" customHeight="false" outlineLevel="0" collapsed="false">
      <c r="B8" s="20" t="s">
        <v>49</v>
      </c>
      <c r="C8" s="22" t="n">
        <v>0.229</v>
      </c>
      <c r="E8" s="5" t="s">
        <v>50</v>
      </c>
    </row>
    <row r="9" customFormat="false" ht="15" hidden="false" customHeight="false" outlineLevel="0" collapsed="false">
      <c r="B9" s="20" t="s">
        <v>51</v>
      </c>
      <c r="C9" s="22" t="n">
        <v>0.227168</v>
      </c>
      <c r="E9" s="5" t="s">
        <v>52</v>
      </c>
    </row>
    <row r="10" customFormat="false" ht="15" hidden="false" customHeight="false" outlineLevel="0" collapsed="false">
      <c r="B10" s="20" t="s">
        <v>53</v>
      </c>
      <c r="C10" s="22" t="n">
        <v>0.005</v>
      </c>
      <c r="E10" s="5" t="s">
        <v>54</v>
      </c>
    </row>
    <row r="11" customFormat="false" ht="15" hidden="false" customHeight="false" outlineLevel="0" collapsed="false">
      <c r="B11" s="20" t="s">
        <v>55</v>
      </c>
      <c r="C11" s="22" t="n">
        <v>0.995</v>
      </c>
      <c r="E11" s="5" t="s">
        <v>56</v>
      </c>
    </row>
    <row r="12" customFormat="false" ht="15" hidden="false" customHeight="false" outlineLevel="0" collapsed="false">
      <c r="B12" s="20" t="s">
        <v>57</v>
      </c>
      <c r="C12" s="23" t="n">
        <v>8760</v>
      </c>
    </row>
    <row r="13" customFormat="false" ht="15" hidden="false" customHeight="false" outlineLevel="0" collapsed="false">
      <c r="B13" s="18" t="s">
        <v>58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</row>
    <row r="14" customFormat="false" ht="15" hidden="false" customHeight="false" outlineLevel="0" collapsed="false">
      <c r="B14" s="20" t="s">
        <v>10</v>
      </c>
      <c r="C14" s="24" t="n">
        <v>3.15</v>
      </c>
      <c r="E14" s="5" t="s">
        <v>59</v>
      </c>
    </row>
    <row r="15" customFormat="false" ht="15" hidden="false" customHeight="false" outlineLevel="0" collapsed="false">
      <c r="B15" s="20" t="s">
        <v>60</v>
      </c>
      <c r="C15" s="22" t="n">
        <v>0</v>
      </c>
      <c r="E15" s="5" t="s">
        <v>61</v>
      </c>
    </row>
    <row r="16" customFormat="false" ht="15" hidden="false" customHeight="false" outlineLevel="0" collapsed="false">
      <c r="B16" s="18" t="s">
        <v>62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</row>
    <row r="17" customFormat="false" ht="15" hidden="false" customHeight="false" outlineLevel="0" collapsed="false">
      <c r="B17" s="20" t="s">
        <v>63</v>
      </c>
      <c r="C17" s="25" t="n">
        <v>0.034</v>
      </c>
      <c r="E17" s="5" t="s">
        <v>64</v>
      </c>
    </row>
    <row r="18" customFormat="false" ht="15" hidden="false" customHeight="false" outlineLevel="0" collapsed="false">
      <c r="B18" s="20" t="s">
        <v>65</v>
      </c>
      <c r="C18" s="26" t="n">
        <v>0.03</v>
      </c>
    </row>
    <row r="19" customFormat="false" ht="15" hidden="false" customHeight="false" outlineLevel="0" collapsed="false">
      <c r="B19" s="20" t="s">
        <v>66</v>
      </c>
      <c r="C19" s="27" t="n">
        <v>0.0042</v>
      </c>
    </row>
    <row r="20" customFormat="false" ht="15" hidden="false" customHeight="false" outlineLevel="0" collapsed="false">
      <c r="B20" s="20" t="s">
        <v>67</v>
      </c>
      <c r="C20" s="28" t="n">
        <v>12</v>
      </c>
      <c r="E20" s="5" t="s">
        <v>68</v>
      </c>
    </row>
    <row r="21" customFormat="false" ht="15" hidden="false" customHeight="false" outlineLevel="0" collapsed="false">
      <c r="B21" s="18" t="s">
        <v>69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</row>
    <row r="22" customFormat="false" ht="15" hidden="false" customHeight="false" outlineLevel="0" collapsed="false">
      <c r="B22" s="20" t="s">
        <v>70</v>
      </c>
      <c r="C22" s="21" t="n">
        <v>1940</v>
      </c>
      <c r="E22" s="5" t="s">
        <v>71</v>
      </c>
    </row>
    <row r="23" customFormat="false" ht="15" hidden="false" customHeight="false" outlineLevel="0" collapsed="false">
      <c r="B23" s="20" t="s">
        <v>72</v>
      </c>
      <c r="C23" s="22" t="n">
        <v>0.745</v>
      </c>
      <c r="E23" s="5" t="s">
        <v>73</v>
      </c>
    </row>
    <row r="24" customFormat="false" ht="15" hidden="false" customHeight="false" outlineLevel="0" collapsed="false">
      <c r="B24" s="20" t="s">
        <v>20</v>
      </c>
      <c r="C24" s="29" t="n">
        <f aca="false">C22*C23</f>
        <v>1445.3</v>
      </c>
      <c r="E24" s="5" t="s">
        <v>74</v>
      </c>
    </row>
    <row r="25" customFormat="false" ht="15" hidden="false" customHeight="false" outlineLevel="0" collapsed="false">
      <c r="B25" s="20" t="s">
        <v>75</v>
      </c>
      <c r="C25" s="29" t="n">
        <f aca="false">C22-C24</f>
        <v>494.7</v>
      </c>
    </row>
    <row r="26" customFormat="false" ht="15" hidden="false" customHeight="false" outlineLevel="0" collapsed="false">
      <c r="B26" s="20" t="s">
        <v>76</v>
      </c>
      <c r="C26" s="27" t="n">
        <v>0.09</v>
      </c>
    </row>
    <row r="27" customFormat="false" ht="15" hidden="false" customHeight="false" outlineLevel="0" collapsed="false">
      <c r="B27" s="20" t="s">
        <v>77</v>
      </c>
      <c r="C27" s="21" t="n">
        <v>20</v>
      </c>
      <c r="E27" s="5" t="s">
        <v>78</v>
      </c>
    </row>
    <row r="28" customFormat="false" ht="15" hidden="false" customHeight="false" outlineLevel="0" collapsed="false">
      <c r="B28" s="20" t="s">
        <v>79</v>
      </c>
      <c r="C28" s="28" t="n">
        <v>2.55</v>
      </c>
      <c r="E28" s="5" t="s">
        <v>80</v>
      </c>
    </row>
    <row r="29" customFormat="false" ht="15" hidden="false" customHeight="false" outlineLevel="0" collapsed="false">
      <c r="B29" s="20" t="s">
        <v>81</v>
      </c>
      <c r="C29" s="23" t="n">
        <v>45</v>
      </c>
    </row>
    <row r="30" customFormat="false" ht="15" hidden="false" customHeight="false" outlineLevel="0" collapsed="false">
      <c r="B30" s="20" t="s">
        <v>82</v>
      </c>
      <c r="C30" s="23" t="n">
        <v>55</v>
      </c>
    </row>
    <row r="31" customFormat="false" ht="15" hidden="false" customHeight="false" outlineLevel="0" collapsed="false">
      <c r="B31" s="18" t="s">
        <v>83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</row>
    <row r="32" customFormat="false" ht="15" hidden="false" customHeight="false" outlineLevel="0" collapsed="false">
      <c r="B32" s="20" t="s">
        <v>84</v>
      </c>
      <c r="C32" s="30" t="n">
        <v>0.2517</v>
      </c>
      <c r="E32" s="5" t="s">
        <v>85</v>
      </c>
    </row>
    <row r="33" customFormat="false" ht="15" hidden="false" customHeight="false" outlineLevel="0" collapsed="false">
      <c r="B33" s="20" t="s">
        <v>86</v>
      </c>
      <c r="C33" s="27" t="n">
        <v>0.1716</v>
      </c>
    </row>
    <row r="34" customFormat="false" ht="15" hidden="false" customHeight="false" outlineLevel="0" collapsed="false">
      <c r="B34" s="20" t="s">
        <v>87</v>
      </c>
      <c r="C34" s="22" t="n">
        <v>0.4</v>
      </c>
      <c r="E34" s="5" t="s">
        <v>88</v>
      </c>
    </row>
    <row r="35" customFormat="false" ht="15" hidden="false" customHeight="false" outlineLevel="0" collapsed="false">
      <c r="B35" s="20" t="s">
        <v>89</v>
      </c>
      <c r="C35" s="21" t="n">
        <v>25</v>
      </c>
      <c r="E35" s="5" t="s">
        <v>90</v>
      </c>
    </row>
    <row r="36" customFormat="false" ht="15" hidden="false" customHeight="false" outlineLevel="0" collapsed="false">
      <c r="B36" s="18" t="s">
        <v>91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</row>
    <row r="37" customFormat="false" ht="15" hidden="false" customHeight="false" outlineLevel="0" collapsed="false">
      <c r="B37" s="20" t="s">
        <v>92</v>
      </c>
      <c r="C37" s="23" t="n">
        <v>48</v>
      </c>
    </row>
    <row r="38" customFormat="false" ht="15" hidden="false" customHeight="false" outlineLevel="0" collapsed="false">
      <c r="B38" s="20" t="s">
        <v>93</v>
      </c>
      <c r="C38" s="23" t="n">
        <v>25</v>
      </c>
    </row>
    <row r="39" customFormat="false" ht="15" hidden="false" customHeight="false" outlineLevel="0" collapsed="false">
      <c r="B39" s="20" t="s">
        <v>94</v>
      </c>
      <c r="C39" s="22" t="n">
        <v>0.015</v>
      </c>
      <c r="E39" s="5" t="s">
        <v>95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L2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4"/>
    <col collapsed="false" customWidth="true" hidden="false" outlineLevel="0" max="12" min="3" style="0" width="11"/>
  </cols>
  <sheetData>
    <row r="2" customFormat="false" ht="17.35" hidden="false" customHeight="false" outlineLevel="0" collapsed="false">
      <c r="B2" s="16" t="s">
        <v>43</v>
      </c>
    </row>
    <row r="3" customFormat="false" ht="15" hidden="false" customHeight="false" outlineLevel="0" collapsed="false">
      <c r="B3" s="17" t="s">
        <v>96</v>
      </c>
    </row>
    <row r="4" customFormat="false" ht="15" hidden="false" customHeight="false" outlineLevel="0" collapsed="false">
      <c r="B4" s="5" t="s">
        <v>97</v>
      </c>
    </row>
    <row r="6" customFormat="false" ht="15" hidden="false" customHeight="false" outlineLevel="0" collapsed="false">
      <c r="B6" s="31" t="s">
        <v>98</v>
      </c>
      <c r="C6" s="32" t="s">
        <v>99</v>
      </c>
      <c r="D6" s="32" t="s">
        <v>100</v>
      </c>
      <c r="E6" s="32" t="s">
        <v>101</v>
      </c>
      <c r="F6" s="32" t="s">
        <v>102</v>
      </c>
      <c r="G6" s="32" t="s">
        <v>103</v>
      </c>
      <c r="H6" s="32" t="s">
        <v>104</v>
      </c>
      <c r="I6" s="32" t="s">
        <v>105</v>
      </c>
      <c r="J6" s="32" t="s">
        <v>106</v>
      </c>
      <c r="K6" s="32" t="s">
        <v>107</v>
      </c>
      <c r="L6" s="32" t="s">
        <v>108</v>
      </c>
    </row>
    <row r="7" customFormat="false" ht="15" hidden="false" customHeight="false" outlineLevel="0" collapsed="false">
      <c r="B7" s="20" t="s">
        <v>109</v>
      </c>
      <c r="C7" s="33" t="n">
        <f aca="false">Assumptions!$C$7</f>
        <v>510</v>
      </c>
      <c r="D7" s="33" t="n">
        <f aca="false">Assumptions!$C$7</f>
        <v>510</v>
      </c>
      <c r="E7" s="33" t="n">
        <f aca="false">Assumptions!$C$7</f>
        <v>510</v>
      </c>
      <c r="F7" s="33" t="n">
        <f aca="false">Assumptions!$C$7</f>
        <v>510</v>
      </c>
      <c r="G7" s="33" t="n">
        <f aca="false">Assumptions!$C$7</f>
        <v>510</v>
      </c>
      <c r="H7" s="33" t="n">
        <f aca="false">Assumptions!$C$7</f>
        <v>510</v>
      </c>
      <c r="I7" s="33" t="n">
        <f aca="false">Assumptions!$C$7</f>
        <v>510</v>
      </c>
      <c r="J7" s="33" t="n">
        <f aca="false">Assumptions!$C$7</f>
        <v>510</v>
      </c>
      <c r="K7" s="33" t="n">
        <f aca="false">Assumptions!$C$7</f>
        <v>510</v>
      </c>
      <c r="L7" s="33" t="n">
        <f aca="false">Assumptions!$C$7</f>
        <v>510</v>
      </c>
    </row>
    <row r="8" customFormat="false" ht="15" hidden="false" customHeight="false" outlineLevel="0" collapsed="false">
      <c r="B8" s="20" t="s">
        <v>110</v>
      </c>
      <c r="C8" s="34" t="n">
        <f aca="false">Assumptions!$C$9</f>
        <v>0.227168</v>
      </c>
      <c r="D8" s="34" t="n">
        <f aca="false">Assumptions!$C$8*(1-Assumptions!$C$10)^1</f>
        <v>0.227855</v>
      </c>
      <c r="E8" s="34" t="n">
        <f aca="false">Assumptions!$C$8*(1-Assumptions!$C$10)^2</f>
        <v>0.226715725</v>
      </c>
      <c r="F8" s="34" t="n">
        <f aca="false">Assumptions!$C$8*(1-Assumptions!$C$10)^3</f>
        <v>0.225582146375</v>
      </c>
      <c r="G8" s="34" t="n">
        <f aca="false">Assumptions!$C$8*(1-Assumptions!$C$10)^4</f>
        <v>0.224454235643125</v>
      </c>
      <c r="H8" s="34" t="n">
        <f aca="false">Assumptions!$C$8*(1-Assumptions!$C$10)^5</f>
        <v>0.223331964464909</v>
      </c>
      <c r="I8" s="34" t="n">
        <f aca="false">Assumptions!$C$8*(1-Assumptions!$C$10)^6</f>
        <v>0.222215304642585</v>
      </c>
      <c r="J8" s="34" t="n">
        <f aca="false">Assumptions!$C$8*(1-Assumptions!$C$10)^7</f>
        <v>0.221104228119372</v>
      </c>
      <c r="K8" s="34" t="n">
        <f aca="false">Assumptions!$C$8*(1-Assumptions!$C$10)^8</f>
        <v>0.219998706978775</v>
      </c>
      <c r="L8" s="34" t="n">
        <f aca="false">Assumptions!$C$8*(1-Assumptions!$C$10)^9</f>
        <v>0.218898713443881</v>
      </c>
    </row>
    <row r="9" customFormat="false" ht="15" hidden="false" customHeight="false" outlineLevel="0" collapsed="false">
      <c r="B9" s="20" t="s">
        <v>55</v>
      </c>
      <c r="C9" s="35" t="n">
        <f aca="false">Assumptions!$C$11</f>
        <v>0.995</v>
      </c>
      <c r="D9" s="35" t="n">
        <f aca="false">Assumptions!$C$11</f>
        <v>0.995</v>
      </c>
      <c r="E9" s="35" t="n">
        <f aca="false">Assumptions!$C$11</f>
        <v>0.995</v>
      </c>
      <c r="F9" s="35" t="n">
        <f aca="false">Assumptions!$C$11</f>
        <v>0.995</v>
      </c>
      <c r="G9" s="35" t="n">
        <f aca="false">Assumptions!$C$11</f>
        <v>0.995</v>
      </c>
      <c r="H9" s="35" t="n">
        <f aca="false">Assumptions!$C$11</f>
        <v>0.995</v>
      </c>
      <c r="I9" s="35" t="n">
        <f aca="false">Assumptions!$C$11</f>
        <v>0.995</v>
      </c>
      <c r="J9" s="35" t="n">
        <f aca="false">Assumptions!$C$11</f>
        <v>0.995</v>
      </c>
      <c r="K9" s="35" t="n">
        <f aca="false">Assumptions!$C$11</f>
        <v>0.995</v>
      </c>
      <c r="L9" s="35" t="n">
        <f aca="false">Assumptions!$C$11</f>
        <v>0.995</v>
      </c>
    </row>
    <row r="10" customFormat="false" ht="15" hidden="false" customHeight="false" outlineLevel="0" collapsed="false">
      <c r="B10" s="36" t="s">
        <v>111</v>
      </c>
      <c r="C10" s="37" t="n">
        <f aca="false">Assumptions!$C$7*Assumptions!$C$12*C8*C9/1000</f>
        <v>1009.821278016</v>
      </c>
      <c r="D10" s="37" t="n">
        <f aca="false">Assumptions!$C$7*Assumptions!$C$12*D8*D9/1000</f>
        <v>1012.87517301</v>
      </c>
      <c r="E10" s="37" t="n">
        <f aca="false">Assumptions!$C$7*Assumptions!$C$12*E8*E9/1000</f>
        <v>1007.81079714495</v>
      </c>
      <c r="F10" s="37" t="n">
        <f aca="false">Assumptions!$C$7*Assumptions!$C$12*F8*F9/1000</f>
        <v>1002.77174315923</v>
      </c>
      <c r="G10" s="37" t="n">
        <f aca="false">Assumptions!$C$7*Assumptions!$C$12*G8*G9/1000</f>
        <v>997.757884443429</v>
      </c>
      <c r="H10" s="37" t="n">
        <f aca="false">Assumptions!$C$7*Assumptions!$C$12*H8*H9/1000</f>
        <v>992.769095021212</v>
      </c>
      <c r="I10" s="37" t="n">
        <f aca="false">Assumptions!$C$7*Assumptions!$C$12*I8*I9/1000</f>
        <v>987.805249546106</v>
      </c>
      <c r="J10" s="37" t="n">
        <f aca="false">Assumptions!$C$7*Assumptions!$C$12*J8*J9/1000</f>
        <v>982.866223298375</v>
      </c>
      <c r="K10" s="37" t="n">
        <f aca="false">Assumptions!$C$7*Assumptions!$C$12*K8*K9/1000</f>
        <v>977.951892181883</v>
      </c>
      <c r="L10" s="37" t="n">
        <f aca="false">Assumptions!$C$7*Assumptions!$C$12*L8*L9/1000</f>
        <v>973.062132720974</v>
      </c>
    </row>
    <row r="11" customFormat="false" ht="15" hidden="false" customHeight="false" outlineLevel="0" collapsed="false">
      <c r="B11" s="20" t="s">
        <v>112</v>
      </c>
      <c r="C11" s="38" t="n">
        <f aca="false">Assumptions!$C$14*(1+Assumptions!$C$15)^0</f>
        <v>3.15</v>
      </c>
      <c r="D11" s="38" t="n">
        <f aca="false">Assumptions!$C$14*(1+Assumptions!$C$15)^1</f>
        <v>3.15</v>
      </c>
      <c r="E11" s="38" t="n">
        <f aca="false">Assumptions!$C$14*(1+Assumptions!$C$15)^2</f>
        <v>3.15</v>
      </c>
      <c r="F11" s="38" t="n">
        <f aca="false">Assumptions!$C$14*(1+Assumptions!$C$15)^3</f>
        <v>3.15</v>
      </c>
      <c r="G11" s="38" t="n">
        <f aca="false">Assumptions!$C$14*(1+Assumptions!$C$15)^4</f>
        <v>3.15</v>
      </c>
      <c r="H11" s="38" t="n">
        <f aca="false">Assumptions!$C$14*(1+Assumptions!$C$15)^5</f>
        <v>3.15</v>
      </c>
      <c r="I11" s="38" t="n">
        <f aca="false">Assumptions!$C$14*(1+Assumptions!$C$15)^6</f>
        <v>3.15</v>
      </c>
      <c r="J11" s="38" t="n">
        <f aca="false">Assumptions!$C$14*(1+Assumptions!$C$15)^7</f>
        <v>3.15</v>
      </c>
      <c r="K11" s="38" t="n">
        <f aca="false">Assumptions!$C$14*(1+Assumptions!$C$15)^8</f>
        <v>3.15</v>
      </c>
      <c r="L11" s="38" t="n">
        <f aca="false">Assumptions!$C$14*(1+Assumptions!$C$15)^9</f>
        <v>3.15</v>
      </c>
    </row>
    <row r="13" customFormat="false" ht="15" hidden="false" customHeight="false" outlineLevel="0" collapsed="false">
      <c r="B13" s="36" t="s">
        <v>113</v>
      </c>
      <c r="C13" s="39" t="n">
        <f aca="false">C10*C11/10</f>
        <v>318.09370257504</v>
      </c>
      <c r="D13" s="39" t="n">
        <f aca="false">D10*D11/10</f>
        <v>319.05567949815</v>
      </c>
      <c r="E13" s="39" t="n">
        <f aca="false">E10*E11/10</f>
        <v>317.460401100659</v>
      </c>
      <c r="F13" s="39" t="n">
        <f aca="false">F10*F11/10</f>
        <v>315.873099095156</v>
      </c>
      <c r="G13" s="39" t="n">
        <f aca="false">G10*G11/10</f>
        <v>314.29373359968</v>
      </c>
      <c r="H13" s="39" t="n">
        <f aca="false">H10*H11/10</f>
        <v>312.722264931682</v>
      </c>
      <c r="I13" s="39" t="n">
        <f aca="false">I10*I11/10</f>
        <v>311.158653607023</v>
      </c>
      <c r="J13" s="39" t="n">
        <f aca="false">J10*J11/10</f>
        <v>309.602860338988</v>
      </c>
      <c r="K13" s="39" t="n">
        <f aca="false">K10*K11/10</f>
        <v>308.054846037293</v>
      </c>
      <c r="L13" s="39" t="n">
        <f aca="false">L10*L11/10</f>
        <v>306.514571807107</v>
      </c>
    </row>
    <row r="15" customFormat="false" ht="15" hidden="false" customHeight="false" outlineLevel="0" collapsed="false">
      <c r="B15" s="18" t="s">
        <v>114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</row>
    <row r="16" customFormat="false" ht="15" hidden="false" customHeight="false" outlineLevel="0" collapsed="false">
      <c r="B16" s="20" t="s">
        <v>115</v>
      </c>
      <c r="C16" s="40" t="n">
        <f aca="false">Assumptions!$C$7*Assumptions!$C$17*(1+Assumptions!$C$18)^0</f>
        <v>17.34</v>
      </c>
      <c r="D16" s="40" t="n">
        <f aca="false">Assumptions!$C$7*Assumptions!$C$17*(1+Assumptions!$C$18)^1</f>
        <v>17.8602</v>
      </c>
      <c r="E16" s="40" t="n">
        <f aca="false">Assumptions!$C$7*Assumptions!$C$17*(1+Assumptions!$C$18)^2</f>
        <v>18.396006</v>
      </c>
      <c r="F16" s="40" t="n">
        <f aca="false">Assumptions!$C$7*Assumptions!$C$17*(1+Assumptions!$C$18)^3</f>
        <v>18.94788618</v>
      </c>
      <c r="G16" s="40" t="n">
        <f aca="false">Assumptions!$C$7*Assumptions!$C$17*(1+Assumptions!$C$18)^4</f>
        <v>19.5163227654</v>
      </c>
      <c r="H16" s="40" t="n">
        <f aca="false">Assumptions!$C$7*Assumptions!$C$17*(1+Assumptions!$C$18)^5</f>
        <v>20.101812448362</v>
      </c>
      <c r="I16" s="40" t="n">
        <f aca="false">Assumptions!$C$7*Assumptions!$C$17*(1+Assumptions!$C$18)^6</f>
        <v>20.7048668218129</v>
      </c>
      <c r="J16" s="40" t="n">
        <f aca="false">Assumptions!$C$7*Assumptions!$C$17*(1+Assumptions!$C$18)^7</f>
        <v>21.3260128264673</v>
      </c>
      <c r="K16" s="40" t="n">
        <f aca="false">Assumptions!$C$7*Assumptions!$C$17*(1+Assumptions!$C$18)^8</f>
        <v>21.9657932112613</v>
      </c>
      <c r="L16" s="40" t="n">
        <f aca="false">Assumptions!$C$7*Assumptions!$C$17*(1+Assumptions!$C$18)^9</f>
        <v>22.6247670075991</v>
      </c>
    </row>
    <row r="17" customFormat="false" ht="15" hidden="false" customHeight="false" outlineLevel="0" collapsed="false">
      <c r="B17" s="20" t="s">
        <v>116</v>
      </c>
      <c r="C17" s="40" t="n">
        <f aca="false">Assumptions!$C$22*Assumptions!$C$19*(0.99)^0</f>
        <v>8.148</v>
      </c>
      <c r="D17" s="40" t="n">
        <f aca="false">Assumptions!$C$22*Assumptions!$C$19*(0.99)^1</f>
        <v>8.06652</v>
      </c>
      <c r="E17" s="40" t="n">
        <f aca="false">Assumptions!$C$22*Assumptions!$C$19*(0.99)^2</f>
        <v>7.9858548</v>
      </c>
      <c r="F17" s="40" t="n">
        <f aca="false">Assumptions!$C$22*Assumptions!$C$19*(0.99)^3</f>
        <v>7.905996252</v>
      </c>
      <c r="G17" s="40" t="n">
        <f aca="false">Assumptions!$C$22*Assumptions!$C$19*(0.99)^4</f>
        <v>7.82693628948</v>
      </c>
      <c r="H17" s="40" t="n">
        <f aca="false">Assumptions!$C$22*Assumptions!$C$19*(0.99)^5</f>
        <v>7.7486669265852</v>
      </c>
      <c r="I17" s="40" t="n">
        <f aca="false">Assumptions!$C$22*Assumptions!$C$19*(0.99)^6</f>
        <v>7.67118025731935</v>
      </c>
      <c r="J17" s="40" t="n">
        <f aca="false">Assumptions!$C$22*Assumptions!$C$19*(0.99)^7</f>
        <v>7.59446845474615</v>
      </c>
      <c r="K17" s="40" t="n">
        <f aca="false">Assumptions!$C$22*Assumptions!$C$19*(0.99)^8</f>
        <v>7.51852377019869</v>
      </c>
      <c r="L17" s="40" t="n">
        <f aca="false">Assumptions!$C$22*Assumptions!$C$19*(0.99)^9</f>
        <v>7.44333853249671</v>
      </c>
    </row>
    <row r="18" customFormat="false" ht="15" hidden="false" customHeight="false" outlineLevel="0" collapsed="false">
      <c r="B18" s="20" t="s">
        <v>117</v>
      </c>
      <c r="C18" s="40" t="n">
        <f aca="false">Assumptions!$C$20*(1+Assumptions!$C$18)^0</f>
        <v>12</v>
      </c>
      <c r="D18" s="40" t="n">
        <f aca="false">Assumptions!$C$20*(1+Assumptions!$C$18)^1</f>
        <v>12.36</v>
      </c>
      <c r="E18" s="40" t="n">
        <f aca="false">Assumptions!$C$20*(1+Assumptions!$C$18)^2</f>
        <v>12.7308</v>
      </c>
      <c r="F18" s="40" t="n">
        <f aca="false">Assumptions!$C$20*(1+Assumptions!$C$18)^3</f>
        <v>13.112724</v>
      </c>
      <c r="G18" s="40" t="n">
        <f aca="false">Assumptions!$C$20*(1+Assumptions!$C$18)^4</f>
        <v>13.50610572</v>
      </c>
      <c r="H18" s="40" t="n">
        <f aca="false">Assumptions!$C$20*(1+Assumptions!$C$18)^5</f>
        <v>13.9112888916</v>
      </c>
      <c r="I18" s="40" t="n">
        <f aca="false">Assumptions!$C$20*(1+Assumptions!$C$18)^6</f>
        <v>14.328627558348</v>
      </c>
      <c r="J18" s="40" t="n">
        <f aca="false">Assumptions!$C$20*(1+Assumptions!$C$18)^7</f>
        <v>14.7584863850984</v>
      </c>
      <c r="K18" s="40" t="n">
        <f aca="false">Assumptions!$C$20*(1+Assumptions!$C$18)^8</f>
        <v>15.2012409766514</v>
      </c>
      <c r="L18" s="40" t="n">
        <f aca="false">Assumptions!$C$20*(1+Assumptions!$C$18)^9</f>
        <v>15.6572782059509</v>
      </c>
    </row>
    <row r="19" customFormat="false" ht="15" hidden="false" customHeight="false" outlineLevel="0" collapsed="false">
      <c r="B19" s="36" t="s">
        <v>118</v>
      </c>
      <c r="C19" s="39" t="n">
        <f aca="false">SUM(C16:C18)</f>
        <v>37.488</v>
      </c>
      <c r="D19" s="39" t="n">
        <f aca="false">SUM(D16:D18)</f>
        <v>38.28672</v>
      </c>
      <c r="E19" s="39" t="n">
        <f aca="false">SUM(E16:E18)</f>
        <v>39.1126608</v>
      </c>
      <c r="F19" s="39" t="n">
        <f aca="false">SUM(F16:F18)</f>
        <v>39.966606432</v>
      </c>
      <c r="G19" s="39" t="n">
        <f aca="false">SUM(G16:G18)</f>
        <v>40.84936477488</v>
      </c>
      <c r="H19" s="39" t="n">
        <f aca="false">SUM(H16:H18)</f>
        <v>41.7617682665472</v>
      </c>
      <c r="I19" s="39" t="n">
        <f aca="false">SUM(I16:I18)</f>
        <v>42.7046746374802</v>
      </c>
      <c r="J19" s="39" t="n">
        <f aca="false">SUM(J16:J18)</f>
        <v>43.6789676663119</v>
      </c>
      <c r="K19" s="39" t="n">
        <f aca="false">SUM(K16:K18)</f>
        <v>44.6855579581114</v>
      </c>
      <c r="L19" s="39" t="n">
        <f aca="false">SUM(L16:L18)</f>
        <v>45.7253837460468</v>
      </c>
    </row>
    <row r="21" customFormat="false" ht="15" hidden="false" customHeight="false" outlineLevel="0" collapsed="false">
      <c r="B21" s="36" t="s">
        <v>119</v>
      </c>
      <c r="C21" s="41" t="n">
        <f aca="false">C13-C19</f>
        <v>280.60570257504</v>
      </c>
      <c r="D21" s="41" t="n">
        <f aca="false">D13-D19</f>
        <v>280.76895949815</v>
      </c>
      <c r="E21" s="41" t="n">
        <f aca="false">E13-E19</f>
        <v>278.347740300659</v>
      </c>
      <c r="F21" s="41" t="n">
        <f aca="false">F13-F19</f>
        <v>275.906492663156</v>
      </c>
      <c r="G21" s="41" t="n">
        <f aca="false">G13-G19</f>
        <v>273.4443688248</v>
      </c>
      <c r="H21" s="41" t="n">
        <f aca="false">H13-H19</f>
        <v>270.960496665135</v>
      </c>
      <c r="I21" s="41" t="n">
        <f aca="false">I13-I19</f>
        <v>268.453978969543</v>
      </c>
      <c r="J21" s="41" t="n">
        <f aca="false">J13-J19</f>
        <v>265.923892672676</v>
      </c>
      <c r="K21" s="41" t="n">
        <f aca="false">K13-K19</f>
        <v>263.369288079182</v>
      </c>
      <c r="L21" s="41" t="n">
        <f aca="false">L13-L19</f>
        <v>260.78918806106</v>
      </c>
    </row>
    <row r="22" customFormat="false" ht="15" hidden="false" customHeight="false" outlineLevel="0" collapsed="false">
      <c r="B22" s="20" t="s">
        <v>120</v>
      </c>
      <c r="C22" s="34" t="n">
        <f aca="false">C21/C13</f>
        <v>0.882147934094494</v>
      </c>
      <c r="D22" s="34" t="n">
        <f aca="false">D21/D13</f>
        <v>0.879999879456081</v>
      </c>
      <c r="E22" s="34" t="n">
        <f aca="false">E21/E13</f>
        <v>0.876795150940421</v>
      </c>
      <c r="F22" s="34" t="n">
        <f aca="false">F21/F13</f>
        <v>0.873472585837517</v>
      </c>
      <c r="G22" s="34" t="n">
        <f aca="false">G21/G13</f>
        <v>0.87002806480733</v>
      </c>
      <c r="H22" s="34" t="n">
        <f aca="false">H21/H13</f>
        <v>0.866457323479444</v>
      </c>
      <c r="I22" s="34" t="n">
        <f aca="false">I21/I13</f>
        <v>0.862755947352138</v>
      </c>
      <c r="J22" s="34" t="n">
        <f aca="false">J21/J13</f>
        <v>0.85891936651203</v>
      </c>
      <c r="K22" s="34" t="n">
        <f aca="false">K21/K13</f>
        <v>0.85494285016798</v>
      </c>
      <c r="L22" s="34" t="n">
        <f aca="false">L21/L13</f>
        <v>0.850821500992709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L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4"/>
    <col collapsed="false" customWidth="true" hidden="false" outlineLevel="0" max="12" min="3" style="0" width="11"/>
  </cols>
  <sheetData>
    <row r="2" customFormat="false" ht="17.35" hidden="false" customHeight="false" outlineLevel="0" collapsed="false">
      <c r="B2" s="16" t="s">
        <v>43</v>
      </c>
    </row>
    <row r="3" customFormat="false" ht="15" hidden="false" customHeight="false" outlineLevel="0" collapsed="false">
      <c r="B3" s="17" t="s">
        <v>121</v>
      </c>
    </row>
    <row r="4" customFormat="false" ht="15" hidden="false" customHeight="false" outlineLevel="0" collapsed="false">
      <c r="B4" s="5" t="s">
        <v>122</v>
      </c>
    </row>
    <row r="6" customFormat="false" ht="15" hidden="false" customHeight="false" outlineLevel="0" collapsed="false">
      <c r="B6" s="31" t="s">
        <v>98</v>
      </c>
      <c r="C6" s="32" t="s">
        <v>99</v>
      </c>
      <c r="D6" s="32" t="s">
        <v>100</v>
      </c>
      <c r="E6" s="32" t="s">
        <v>101</v>
      </c>
      <c r="F6" s="32" t="s">
        <v>102</v>
      </c>
      <c r="G6" s="32" t="s">
        <v>103</v>
      </c>
      <c r="H6" s="32" t="s">
        <v>104</v>
      </c>
      <c r="I6" s="32" t="s">
        <v>105</v>
      </c>
      <c r="J6" s="32" t="s">
        <v>106</v>
      </c>
      <c r="K6" s="32" t="s">
        <v>107</v>
      </c>
      <c r="L6" s="32" t="s">
        <v>108</v>
      </c>
    </row>
    <row r="7" customFormat="false" ht="15" hidden="false" customHeight="false" outlineLevel="0" collapsed="false">
      <c r="B7" s="20" t="s">
        <v>123</v>
      </c>
      <c r="C7" s="40" t="n">
        <f aca="false">Assumptions!$C$24</f>
        <v>1445.3</v>
      </c>
      <c r="D7" s="40" t="n">
        <f aca="false">C10</f>
        <v>1373.035</v>
      </c>
      <c r="E7" s="40" t="n">
        <f aca="false">D10</f>
        <v>1300.77</v>
      </c>
      <c r="F7" s="40" t="n">
        <f aca="false">E10</f>
        <v>1228.505</v>
      </c>
      <c r="G7" s="40" t="n">
        <f aca="false">F10</f>
        <v>1156.24</v>
      </c>
      <c r="H7" s="40" t="n">
        <f aca="false">G10</f>
        <v>1083.975</v>
      </c>
      <c r="I7" s="40" t="n">
        <f aca="false">H10</f>
        <v>1011.71</v>
      </c>
      <c r="J7" s="40" t="n">
        <f aca="false">I10</f>
        <v>939.445</v>
      </c>
      <c r="K7" s="40" t="n">
        <f aca="false">J10</f>
        <v>867.18</v>
      </c>
      <c r="L7" s="40" t="n">
        <f aca="false">K10</f>
        <v>794.915</v>
      </c>
    </row>
    <row r="8" customFormat="false" ht="15" hidden="false" customHeight="false" outlineLevel="0" collapsed="false">
      <c r="B8" s="20" t="s">
        <v>124</v>
      </c>
      <c r="C8" s="40" t="n">
        <f aca="false">C7*Assumptions!$C$26</f>
        <v>130.077</v>
      </c>
      <c r="D8" s="40" t="n">
        <f aca="false">D7*Assumptions!$C$26</f>
        <v>123.57315</v>
      </c>
      <c r="E8" s="40" t="n">
        <f aca="false">E7*Assumptions!$C$26</f>
        <v>117.0693</v>
      </c>
      <c r="F8" s="40" t="n">
        <f aca="false">F7*Assumptions!$C$26</f>
        <v>110.56545</v>
      </c>
      <c r="G8" s="40" t="n">
        <f aca="false">G7*Assumptions!$C$26</f>
        <v>104.0616</v>
      </c>
      <c r="H8" s="40" t="n">
        <f aca="false">H7*Assumptions!$C$26</f>
        <v>97.5577499999999</v>
      </c>
      <c r="I8" s="40" t="n">
        <f aca="false">I7*Assumptions!$C$26</f>
        <v>91.0538999999999</v>
      </c>
      <c r="J8" s="40" t="n">
        <f aca="false">J7*Assumptions!$C$26</f>
        <v>84.55005</v>
      </c>
      <c r="K8" s="40" t="n">
        <f aca="false">K7*Assumptions!$C$26</f>
        <v>78.0462</v>
      </c>
      <c r="L8" s="40" t="n">
        <f aca="false">L7*Assumptions!$C$26</f>
        <v>71.54235</v>
      </c>
    </row>
    <row r="9" customFormat="false" ht="15" hidden="false" customHeight="false" outlineLevel="0" collapsed="false">
      <c r="B9" s="20" t="s">
        <v>125</v>
      </c>
      <c r="C9" s="40" t="n">
        <f aca="false">MIN(C7,Assumptions!$C$24/Assumptions!$C$27)</f>
        <v>72.265</v>
      </c>
      <c r="D9" s="40" t="n">
        <f aca="false">MIN(D7,Assumptions!$C$24/Assumptions!$C$27)</f>
        <v>72.265</v>
      </c>
      <c r="E9" s="40" t="n">
        <f aca="false">MIN(E7,Assumptions!$C$24/Assumptions!$C$27)</f>
        <v>72.265</v>
      </c>
      <c r="F9" s="40" t="n">
        <f aca="false">MIN(F7,Assumptions!$C$24/Assumptions!$C$27)</f>
        <v>72.265</v>
      </c>
      <c r="G9" s="40" t="n">
        <f aca="false">MIN(G7,Assumptions!$C$24/Assumptions!$C$27)</f>
        <v>72.265</v>
      </c>
      <c r="H9" s="40" t="n">
        <f aca="false">MIN(H7,Assumptions!$C$24/Assumptions!$C$27)</f>
        <v>72.265</v>
      </c>
      <c r="I9" s="40" t="n">
        <f aca="false">MIN(I7,Assumptions!$C$24/Assumptions!$C$27)</f>
        <v>72.265</v>
      </c>
      <c r="J9" s="40" t="n">
        <f aca="false">MIN(J7,Assumptions!$C$24/Assumptions!$C$27)</f>
        <v>72.265</v>
      </c>
      <c r="K9" s="40" t="n">
        <f aca="false">MIN(K7,Assumptions!$C$24/Assumptions!$C$27)</f>
        <v>72.265</v>
      </c>
      <c r="L9" s="40" t="n">
        <f aca="false">MIN(L7,Assumptions!$C$24/Assumptions!$C$27)</f>
        <v>72.265</v>
      </c>
    </row>
    <row r="10" customFormat="false" ht="15" hidden="false" customHeight="false" outlineLevel="0" collapsed="false">
      <c r="B10" s="36" t="s">
        <v>126</v>
      </c>
      <c r="C10" s="39" t="n">
        <f aca="false">C7-C9</f>
        <v>1373.035</v>
      </c>
      <c r="D10" s="39" t="n">
        <f aca="false">D7-D9</f>
        <v>1300.77</v>
      </c>
      <c r="E10" s="39" t="n">
        <f aca="false">E7-E9</f>
        <v>1228.505</v>
      </c>
      <c r="F10" s="39" t="n">
        <f aca="false">F7-F9</f>
        <v>1156.24</v>
      </c>
      <c r="G10" s="39" t="n">
        <f aca="false">G7-G9</f>
        <v>1083.975</v>
      </c>
      <c r="H10" s="39" t="n">
        <f aca="false">H7-H9</f>
        <v>1011.71</v>
      </c>
      <c r="I10" s="39" t="n">
        <f aca="false">I7-I9</f>
        <v>939.445</v>
      </c>
      <c r="J10" s="39" t="n">
        <f aca="false">J7-J9</f>
        <v>867.18</v>
      </c>
      <c r="K10" s="39" t="n">
        <f aca="false">K7-K9</f>
        <v>794.915</v>
      </c>
      <c r="L10" s="39" t="n">
        <f aca="false">L7-L9</f>
        <v>722.65</v>
      </c>
    </row>
    <row r="12" customFormat="false" ht="15" hidden="false" customHeight="false" outlineLevel="0" collapsed="false">
      <c r="B12" s="36" t="s">
        <v>127</v>
      </c>
      <c r="C12" s="42" t="n">
        <f aca="false">C8+C9</f>
        <v>202.342</v>
      </c>
      <c r="D12" s="42" t="n">
        <f aca="false">D8+D9</f>
        <v>195.83815</v>
      </c>
      <c r="E12" s="42" t="n">
        <f aca="false">E8+E9</f>
        <v>189.3343</v>
      </c>
      <c r="F12" s="42" t="n">
        <f aca="false">F8+F9</f>
        <v>182.83045</v>
      </c>
      <c r="G12" s="42" t="n">
        <f aca="false">G8+G9</f>
        <v>176.3266</v>
      </c>
      <c r="H12" s="42" t="n">
        <f aca="false">H8+H9</f>
        <v>169.82275</v>
      </c>
      <c r="I12" s="42" t="n">
        <f aca="false">I8+I9</f>
        <v>163.3189</v>
      </c>
      <c r="J12" s="42" t="n">
        <f aca="false">J8+J9</f>
        <v>156.81505</v>
      </c>
      <c r="K12" s="42" t="n">
        <f aca="false">K8+K9</f>
        <v>150.3112</v>
      </c>
      <c r="L12" s="42" t="n">
        <f aca="false">L8+L9</f>
        <v>143.80735</v>
      </c>
    </row>
    <row r="14" customFormat="false" ht="15" hidden="false" customHeight="false" outlineLevel="0" collapsed="false">
      <c r="B14" s="18" t="s">
        <v>128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</row>
    <row r="15" customFormat="false" ht="15" hidden="false" customHeight="false" outlineLevel="0" collapsed="false">
      <c r="B15" s="20" t="s">
        <v>129</v>
      </c>
      <c r="C15" s="40" t="n">
        <f aca="false">'Generation &amp; Revenue'!C21+'Income Statement'!C20+'Cash Flow Statement'!C10-Assumptions!$C$28</f>
        <v>265.541137213163</v>
      </c>
      <c r="D15" s="40" t="n">
        <f aca="false">'Generation &amp; Revenue'!D21+'Income Statement'!D20+'Cash Flow Statement'!D10-Assumptions!$C$28</f>
        <v>264.441718693637</v>
      </c>
      <c r="E15" s="40" t="n">
        <f aca="false">'Generation &amp; Revenue'!E21+'Income Statement'!E20+'Cash Flow Statement'!E10-Assumptions!$C$28</f>
        <v>261.635198103661</v>
      </c>
      <c r="F15" s="40" t="n">
        <f aca="false">'Generation &amp; Revenue'!F21+'Income Statement'!F20+'Cash Flow Statement'!F10-Assumptions!$C$28</f>
        <v>258.49582450996</v>
      </c>
      <c r="G15" s="40" t="n">
        <f aca="false">'Generation &amp; Revenue'!G21+'Income Statement'!G20+'Cash Flow Statement'!G10-Assumptions!$C$28</f>
        <v>253.768810525561</v>
      </c>
      <c r="H15" s="40" t="n">
        <f aca="false">'Generation &amp; Revenue'!H21+'Income Statement'!H20+'Cash Flow Statement'!H10-Assumptions!$C$28</f>
        <v>240.146789034013</v>
      </c>
      <c r="I15" s="40" t="n">
        <f aca="false">'Generation &amp; Revenue'!I21+'Income Statement'!I20+'Cash Flow Statement'!I10-Assumptions!$C$28</f>
        <v>230.55796568704</v>
      </c>
      <c r="J15" s="40" t="n">
        <f aca="false">'Generation &amp; Revenue'!J21+'Income Statement'!J20+'Cash Flow Statement'!J10-Assumptions!$C$28</f>
        <v>223.38159415802</v>
      </c>
      <c r="K15" s="40" t="n">
        <f aca="false">'Generation &amp; Revenue'!K21+'Income Statement'!K20+'Cash Flow Statement'!K10-Assumptions!$C$28</f>
        <v>217.644930422215</v>
      </c>
      <c r="L15" s="40" t="n">
        <f aca="false">'Generation &amp; Revenue'!L21+'Income Statement'!L20+'Cash Flow Statement'!L10-Assumptions!$C$28</f>
        <v>212.764023264554</v>
      </c>
    </row>
    <row r="16" customFormat="false" ht="15" hidden="false" customHeight="false" outlineLevel="0" collapsed="false">
      <c r="B16" s="36" t="s">
        <v>130</v>
      </c>
      <c r="C16" s="43" t="n">
        <f aca="false">IF(C12=0,"n.a.",C15/C12)</f>
        <v>1.31233820567733</v>
      </c>
      <c r="D16" s="43" t="n">
        <f aca="false">IF(D12=0,"n.a.",D15/D12)</f>
        <v>1.35030747938355</v>
      </c>
      <c r="E16" s="43" t="n">
        <f aca="false">IF(E12=0,"n.a.",E15/E12)</f>
        <v>1.38186899100512</v>
      </c>
      <c r="F16" s="43" t="n">
        <f aca="false">IF(F12=0,"n.a.",F15/F12)</f>
        <v>1.41385543004439</v>
      </c>
      <c r="G16" s="43" t="n">
        <f aca="false">IF(G12=0,"n.a.",G15/G12)</f>
        <v>1.43919754889824</v>
      </c>
      <c r="H16" s="43" t="n">
        <f aca="false">IF(H12=0,"n.a.",H15/H12)</f>
        <v>1.41410258068494</v>
      </c>
      <c r="I16" s="43" t="n">
        <f aca="false">IF(I12=0,"n.a.",I15/I12)</f>
        <v>1.41170413030604</v>
      </c>
      <c r="J16" s="43" t="n">
        <f aca="false">IF(J12=0,"n.a.",J15/J12)</f>
        <v>1.42449078808456</v>
      </c>
      <c r="K16" s="43" t="n">
        <f aca="false">IF(K12=0,"n.a.",K15/K12)</f>
        <v>1.44796216397857</v>
      </c>
      <c r="L16" s="43" t="n">
        <f aca="false">IF(L12=0,"n.a.",L15/L12)</f>
        <v>1.4795072940608</v>
      </c>
    </row>
    <row r="18" customFormat="false" ht="15" hidden="false" customHeight="false" outlineLevel="0" collapsed="false">
      <c r="B18" s="20" t="s">
        <v>131</v>
      </c>
      <c r="C18" s="44" t="n">
        <f aca="false">MIN(C16:L16)</f>
        <v>1.31233820567733</v>
      </c>
    </row>
    <row r="19" customFormat="false" ht="15" hidden="false" customHeight="false" outlineLevel="0" collapsed="false">
      <c r="B19" s="20" t="s">
        <v>132</v>
      </c>
      <c r="C19" s="45" t="n">
        <f aca="false">AVERAGE(C16:L16)</f>
        <v>1.40753346121236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L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4"/>
    <col collapsed="false" customWidth="true" hidden="false" outlineLevel="0" max="12" min="3" style="0" width="11"/>
  </cols>
  <sheetData>
    <row r="2" customFormat="false" ht="17.35" hidden="false" customHeight="false" outlineLevel="0" collapsed="false">
      <c r="B2" s="16" t="s">
        <v>43</v>
      </c>
    </row>
    <row r="3" customFormat="false" ht="15" hidden="false" customHeight="false" outlineLevel="0" collapsed="false">
      <c r="B3" s="17" t="s">
        <v>133</v>
      </c>
    </row>
    <row r="4" customFormat="false" ht="15" hidden="false" customHeight="false" outlineLevel="0" collapsed="false">
      <c r="B4" s="5" t="s">
        <v>134</v>
      </c>
    </row>
    <row r="6" customFormat="false" ht="15" hidden="false" customHeight="false" outlineLevel="0" collapsed="false">
      <c r="B6" s="31" t="s">
        <v>98</v>
      </c>
      <c r="C6" s="32" t="s">
        <v>99</v>
      </c>
      <c r="D6" s="32" t="s">
        <v>100</v>
      </c>
      <c r="E6" s="32" t="s">
        <v>101</v>
      </c>
      <c r="F6" s="32" t="s">
        <v>102</v>
      </c>
      <c r="G6" s="32" t="s">
        <v>103</v>
      </c>
      <c r="H6" s="32" t="s">
        <v>104</v>
      </c>
      <c r="I6" s="32" t="s">
        <v>105</v>
      </c>
      <c r="J6" s="32" t="s">
        <v>106</v>
      </c>
      <c r="K6" s="32" t="s">
        <v>107</v>
      </c>
      <c r="L6" s="32" t="s">
        <v>108</v>
      </c>
    </row>
    <row r="7" customFormat="false" ht="15" hidden="false" customHeight="false" outlineLevel="0" collapsed="false">
      <c r="B7" s="20" t="s">
        <v>135</v>
      </c>
      <c r="C7" s="46" t="n">
        <f aca="false">'Generation &amp; Revenue'!C13</f>
        <v>318.09370257504</v>
      </c>
      <c r="D7" s="46" t="n">
        <f aca="false">'Generation &amp; Revenue'!D13</f>
        <v>319.05567949815</v>
      </c>
      <c r="E7" s="46" t="n">
        <f aca="false">'Generation &amp; Revenue'!E13</f>
        <v>317.460401100659</v>
      </c>
      <c r="F7" s="46" t="n">
        <f aca="false">'Generation &amp; Revenue'!F13</f>
        <v>315.873099095156</v>
      </c>
      <c r="G7" s="46" t="n">
        <f aca="false">'Generation &amp; Revenue'!G13</f>
        <v>314.29373359968</v>
      </c>
      <c r="H7" s="46" t="n">
        <f aca="false">'Generation &amp; Revenue'!H13</f>
        <v>312.722264931682</v>
      </c>
      <c r="I7" s="46" t="n">
        <f aca="false">'Generation &amp; Revenue'!I13</f>
        <v>311.158653607023</v>
      </c>
      <c r="J7" s="46" t="n">
        <f aca="false">'Generation &amp; Revenue'!J13</f>
        <v>309.602860338988</v>
      </c>
      <c r="K7" s="46" t="n">
        <f aca="false">'Generation &amp; Revenue'!K13</f>
        <v>308.054846037293</v>
      </c>
      <c r="L7" s="46" t="n">
        <f aca="false">'Generation &amp; Revenue'!L13</f>
        <v>306.514571807107</v>
      </c>
    </row>
    <row r="8" customFormat="false" ht="15" hidden="false" customHeight="false" outlineLevel="0" collapsed="false">
      <c r="B8" s="20" t="s">
        <v>136</v>
      </c>
      <c r="C8" s="46" t="n">
        <f aca="false">-'Generation &amp; Revenue'!C19</f>
        <v>-37.488</v>
      </c>
      <c r="D8" s="46" t="n">
        <f aca="false">-'Generation &amp; Revenue'!D19</f>
        <v>-38.28672</v>
      </c>
      <c r="E8" s="46" t="n">
        <f aca="false">-'Generation &amp; Revenue'!E19</f>
        <v>-39.1126608</v>
      </c>
      <c r="F8" s="46" t="n">
        <f aca="false">-'Generation &amp; Revenue'!F19</f>
        <v>-39.966606432</v>
      </c>
      <c r="G8" s="46" t="n">
        <f aca="false">-'Generation &amp; Revenue'!G19</f>
        <v>-40.84936477488</v>
      </c>
      <c r="H8" s="46" t="n">
        <f aca="false">-'Generation &amp; Revenue'!H19</f>
        <v>-41.7617682665472</v>
      </c>
      <c r="I8" s="46" t="n">
        <f aca="false">-'Generation &amp; Revenue'!I19</f>
        <v>-42.7046746374802</v>
      </c>
      <c r="J8" s="46" t="n">
        <f aca="false">-'Generation &amp; Revenue'!J19</f>
        <v>-43.6789676663119</v>
      </c>
      <c r="K8" s="46" t="n">
        <f aca="false">-'Generation &amp; Revenue'!K19</f>
        <v>-44.6855579581114</v>
      </c>
      <c r="L8" s="46" t="n">
        <f aca="false">-'Generation &amp; Revenue'!L19</f>
        <v>-45.7253837460468</v>
      </c>
    </row>
    <row r="9" customFormat="false" ht="15" hidden="false" customHeight="false" outlineLevel="0" collapsed="false">
      <c r="B9" s="36" t="s">
        <v>137</v>
      </c>
      <c r="C9" s="39" t="n">
        <f aca="false">C7+C8</f>
        <v>280.60570257504</v>
      </c>
      <c r="D9" s="39" t="n">
        <f aca="false">D7+D8</f>
        <v>280.76895949815</v>
      </c>
      <c r="E9" s="39" t="n">
        <f aca="false">E7+E8</f>
        <v>278.347740300659</v>
      </c>
      <c r="F9" s="39" t="n">
        <f aca="false">F7+F8</f>
        <v>275.906492663156</v>
      </c>
      <c r="G9" s="39" t="n">
        <f aca="false">G7+G8</f>
        <v>273.4443688248</v>
      </c>
      <c r="H9" s="39" t="n">
        <f aca="false">H7+H8</f>
        <v>270.960496665135</v>
      </c>
      <c r="I9" s="39" t="n">
        <f aca="false">I7+I8</f>
        <v>268.453978969543</v>
      </c>
      <c r="J9" s="39" t="n">
        <f aca="false">J7+J8</f>
        <v>265.923892672676</v>
      </c>
      <c r="K9" s="39" t="n">
        <f aca="false">K7+K8</f>
        <v>263.369288079182</v>
      </c>
      <c r="L9" s="39" t="n">
        <f aca="false">L7+L8</f>
        <v>260.78918806106</v>
      </c>
    </row>
    <row r="10" customFormat="false" ht="15" hidden="false" customHeight="false" outlineLevel="0" collapsed="false">
      <c r="B10" s="20" t="s">
        <v>138</v>
      </c>
      <c r="C10" s="40" t="n">
        <f aca="false">-Assumptions!$C$22/Assumptions!$C$35</f>
        <v>-77.6</v>
      </c>
      <c r="D10" s="40" t="n">
        <f aca="false">-Assumptions!$C$22/Assumptions!$C$35</f>
        <v>-77.6</v>
      </c>
      <c r="E10" s="40" t="n">
        <f aca="false">-Assumptions!$C$22/Assumptions!$C$35</f>
        <v>-77.6</v>
      </c>
      <c r="F10" s="40" t="n">
        <f aca="false">-Assumptions!$C$22/Assumptions!$C$35</f>
        <v>-77.6</v>
      </c>
      <c r="G10" s="40" t="n">
        <f aca="false">-Assumptions!$C$22/Assumptions!$C$35</f>
        <v>-77.6</v>
      </c>
      <c r="H10" s="40" t="n">
        <f aca="false">-Assumptions!$C$22/Assumptions!$C$35</f>
        <v>-77.6</v>
      </c>
      <c r="I10" s="40" t="n">
        <f aca="false">-Assumptions!$C$22/Assumptions!$C$35</f>
        <v>-77.6</v>
      </c>
      <c r="J10" s="40" t="n">
        <f aca="false">-Assumptions!$C$22/Assumptions!$C$35</f>
        <v>-77.6</v>
      </c>
      <c r="K10" s="40" t="n">
        <f aca="false">-Assumptions!$C$22/Assumptions!$C$35</f>
        <v>-77.6</v>
      </c>
      <c r="L10" s="40" t="n">
        <f aca="false">-Assumptions!$C$22/Assumptions!$C$35</f>
        <v>-77.6</v>
      </c>
    </row>
    <row r="11" customFormat="false" ht="15" hidden="false" customHeight="false" outlineLevel="0" collapsed="false">
      <c r="B11" s="36" t="s">
        <v>139</v>
      </c>
      <c r="C11" s="39" t="n">
        <f aca="false">C9+C10</f>
        <v>203.00570257504</v>
      </c>
      <c r="D11" s="39" t="n">
        <f aca="false">D9+D10</f>
        <v>203.16895949815</v>
      </c>
      <c r="E11" s="39" t="n">
        <f aca="false">E9+E10</f>
        <v>200.747740300659</v>
      </c>
      <c r="F11" s="39" t="n">
        <f aca="false">F9+F10</f>
        <v>198.306492663156</v>
      </c>
      <c r="G11" s="39" t="n">
        <f aca="false">G9+G10</f>
        <v>195.8443688248</v>
      </c>
      <c r="H11" s="39" t="n">
        <f aca="false">H9+H10</f>
        <v>193.360496665135</v>
      </c>
      <c r="I11" s="39" t="n">
        <f aca="false">I9+I10</f>
        <v>190.853978969543</v>
      </c>
      <c r="J11" s="39" t="n">
        <f aca="false">J9+J10</f>
        <v>188.323892672676</v>
      </c>
      <c r="K11" s="39" t="n">
        <f aca="false">K9+K10</f>
        <v>185.769288079182</v>
      </c>
      <c r="L11" s="39" t="n">
        <f aca="false">L9+L10</f>
        <v>183.18918806106</v>
      </c>
    </row>
    <row r="12" customFormat="false" ht="15" hidden="false" customHeight="false" outlineLevel="0" collapsed="false">
      <c r="B12" s="20" t="s">
        <v>140</v>
      </c>
      <c r="C12" s="46" t="n">
        <f aca="false">-'Debt Schedule'!C8</f>
        <v>-130.077</v>
      </c>
      <c r="D12" s="46" t="n">
        <f aca="false">-'Debt Schedule'!D8</f>
        <v>-123.57315</v>
      </c>
      <c r="E12" s="46" t="n">
        <f aca="false">-'Debt Schedule'!E8</f>
        <v>-117.0693</v>
      </c>
      <c r="F12" s="46" t="n">
        <f aca="false">-'Debt Schedule'!F8</f>
        <v>-110.56545</v>
      </c>
      <c r="G12" s="46" t="n">
        <f aca="false">-'Debt Schedule'!G8</f>
        <v>-104.0616</v>
      </c>
      <c r="H12" s="46" t="n">
        <f aca="false">-'Debt Schedule'!H8</f>
        <v>-97.5577499999999</v>
      </c>
      <c r="I12" s="46" t="n">
        <f aca="false">-'Debt Schedule'!I8</f>
        <v>-91.0538999999999</v>
      </c>
      <c r="J12" s="46" t="n">
        <f aca="false">-'Debt Schedule'!J8</f>
        <v>-84.55005</v>
      </c>
      <c r="K12" s="46" t="n">
        <f aca="false">-'Debt Schedule'!K8</f>
        <v>-78.0462</v>
      </c>
      <c r="L12" s="46" t="n">
        <f aca="false">-'Debt Schedule'!L8</f>
        <v>-71.54235</v>
      </c>
    </row>
    <row r="13" customFormat="false" ht="15" hidden="false" customHeight="false" outlineLevel="0" collapsed="false">
      <c r="B13" s="36" t="s">
        <v>141</v>
      </c>
      <c r="C13" s="39" t="n">
        <f aca="false">C11+C12</f>
        <v>72.92870257504</v>
      </c>
      <c r="D13" s="39" t="n">
        <f aca="false">D11+D12</f>
        <v>79.59580949815</v>
      </c>
      <c r="E13" s="39" t="n">
        <f aca="false">E11+E12</f>
        <v>83.6784403006593</v>
      </c>
      <c r="F13" s="39" t="n">
        <f aca="false">F11+F12</f>
        <v>87.741042663156</v>
      </c>
      <c r="G13" s="39" t="n">
        <f aca="false">G11+G12</f>
        <v>91.7827688248002</v>
      </c>
      <c r="H13" s="39" t="n">
        <f aca="false">H11+H12</f>
        <v>95.8027466651346</v>
      </c>
      <c r="I13" s="39" t="n">
        <f aca="false">I11+I12</f>
        <v>99.8000789695433</v>
      </c>
      <c r="J13" s="39" t="n">
        <f aca="false">J11+J12</f>
        <v>103.773842672676</v>
      </c>
      <c r="K13" s="39" t="n">
        <f aca="false">K11+K12</f>
        <v>107.723088079182</v>
      </c>
      <c r="L13" s="39" t="n">
        <f aca="false">L11+L12</f>
        <v>111.64683806106</v>
      </c>
    </row>
    <row r="15" customFormat="false" ht="15" hidden="false" customHeight="false" outlineLevel="0" collapsed="false">
      <c r="B15" s="18" t="s">
        <v>142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</row>
    <row r="16" customFormat="false" ht="15" hidden="false" customHeight="false" outlineLevel="0" collapsed="false">
      <c r="B16" s="47" t="s">
        <v>143</v>
      </c>
      <c r="C16" s="40" t="n">
        <f aca="false">Assumptions!$C$22*Assumptions!$C$34</f>
        <v>776</v>
      </c>
      <c r="D16" s="40" t="n">
        <f aca="false">(Assumptions!$C$22*(1-Assumptions!$C$34)^1)*Assumptions!$C$34</f>
        <v>465.6</v>
      </c>
      <c r="E16" s="40" t="n">
        <f aca="false">(Assumptions!$C$22*(1-Assumptions!$C$34)^2)*Assumptions!$C$34</f>
        <v>279.36</v>
      </c>
      <c r="F16" s="40" t="n">
        <f aca="false">(Assumptions!$C$22*(1-Assumptions!$C$34)^3)*Assumptions!$C$34</f>
        <v>167.616</v>
      </c>
      <c r="G16" s="40" t="n">
        <f aca="false">(Assumptions!$C$22*(1-Assumptions!$C$34)^4)*Assumptions!$C$34</f>
        <v>100.5696</v>
      </c>
      <c r="H16" s="40" t="n">
        <f aca="false">(Assumptions!$C$22*(1-Assumptions!$C$34)^5)*Assumptions!$C$34</f>
        <v>60.34176</v>
      </c>
      <c r="I16" s="40" t="n">
        <f aca="false">(Assumptions!$C$22*(1-Assumptions!$C$34)^6)*Assumptions!$C$34</f>
        <v>36.205056</v>
      </c>
      <c r="J16" s="40" t="n">
        <f aca="false">(Assumptions!$C$22*(1-Assumptions!$C$34)^7)*Assumptions!$C$34</f>
        <v>21.7230336</v>
      </c>
      <c r="K16" s="40" t="n">
        <f aca="false">(Assumptions!$C$22*(1-Assumptions!$C$34)^8)*Assumptions!$C$34</f>
        <v>13.03382016</v>
      </c>
      <c r="L16" s="40" t="n">
        <f aca="false">(Assumptions!$C$22*(1-Assumptions!$C$34)^9)*Assumptions!$C$34</f>
        <v>7.820292096</v>
      </c>
    </row>
    <row r="17" customFormat="false" ht="15" hidden="false" customHeight="false" outlineLevel="0" collapsed="false">
      <c r="B17" s="47" t="s">
        <v>144</v>
      </c>
      <c r="C17" s="40" t="n">
        <f aca="false">C9-C16+C12</f>
        <v>-625.47129742496</v>
      </c>
      <c r="D17" s="40" t="n">
        <f aca="false">D9-D16+D12</f>
        <v>-308.40419050185</v>
      </c>
      <c r="E17" s="40" t="n">
        <f aca="false">E9-E16+E12</f>
        <v>-118.081559699341</v>
      </c>
      <c r="F17" s="40" t="n">
        <f aca="false">F9-F16+F12</f>
        <v>-2.27495733684404</v>
      </c>
      <c r="G17" s="40" t="n">
        <f aca="false">G9-G16+G12</f>
        <v>68.8131688248002</v>
      </c>
      <c r="H17" s="40" t="n">
        <f aca="false">H9-H16+H12</f>
        <v>113.060986665135</v>
      </c>
      <c r="I17" s="40" t="n">
        <f aca="false">I9-I16+I12</f>
        <v>141.195022969543</v>
      </c>
      <c r="J17" s="40" t="n">
        <f aca="false">J9-J16+J12</f>
        <v>159.650809072676</v>
      </c>
      <c r="K17" s="40" t="n">
        <f aca="false">K9-K16+K12</f>
        <v>172.289267919182</v>
      </c>
      <c r="L17" s="40" t="n">
        <f aca="false">L9-L16+L12</f>
        <v>181.42654596506</v>
      </c>
    </row>
    <row r="18" customFormat="false" ht="15" hidden="false" customHeight="false" outlineLevel="0" collapsed="false">
      <c r="B18" s="47" t="s">
        <v>145</v>
      </c>
      <c r="C18" s="40" t="n">
        <f aca="false">MAX(0,C17)*Assumptions!$C$32</f>
        <v>0</v>
      </c>
      <c r="D18" s="40" t="n">
        <f aca="false">MAX(0,D17)*Assumptions!$C$32</f>
        <v>0</v>
      </c>
      <c r="E18" s="40" t="n">
        <f aca="false">MAX(0,E17)*Assumptions!$C$32</f>
        <v>0</v>
      </c>
      <c r="F18" s="40" t="n">
        <f aca="false">MAX(0,F17)*Assumptions!$C$32</f>
        <v>0</v>
      </c>
      <c r="G18" s="40" t="n">
        <f aca="false">MAX(0,G17)*Assumptions!$C$32</f>
        <v>17.3202745932022</v>
      </c>
      <c r="H18" s="40" t="n">
        <f aca="false">MAX(0,H17)*Assumptions!$C$32</f>
        <v>28.4574503436144</v>
      </c>
      <c r="I18" s="40" t="n">
        <f aca="false">MAX(0,I17)*Assumptions!$C$32</f>
        <v>35.5387872814341</v>
      </c>
      <c r="J18" s="40" t="n">
        <f aca="false">MAX(0,J17)*Assumptions!$C$32</f>
        <v>40.1841086435927</v>
      </c>
      <c r="K18" s="40" t="n">
        <f aca="false">MAX(0,K17)*Assumptions!$C$32</f>
        <v>43.3652087352581</v>
      </c>
      <c r="L18" s="40" t="n">
        <f aca="false">MAX(0,L17)*Assumptions!$C$32</f>
        <v>45.6650616194056</v>
      </c>
    </row>
    <row r="19" customFormat="false" ht="15" hidden="false" customHeight="false" outlineLevel="0" collapsed="false">
      <c r="B19" s="47" t="s">
        <v>146</v>
      </c>
      <c r="C19" s="40" t="n">
        <f aca="false">MAX(0,C13)*Assumptions!$C$33</f>
        <v>12.5145653618769</v>
      </c>
      <c r="D19" s="40" t="n">
        <f aca="false">MAX(0,D13)*Assumptions!$C$33</f>
        <v>13.6586409098825</v>
      </c>
      <c r="E19" s="40" t="n">
        <f aca="false">MAX(0,E13)*Assumptions!$C$33</f>
        <v>14.3592203555931</v>
      </c>
      <c r="F19" s="40" t="n">
        <f aca="false">MAX(0,F13)*Assumptions!$C$33</f>
        <v>15.0563629209976</v>
      </c>
      <c r="G19" s="40" t="n">
        <f aca="false">MAX(0,G13)*Assumptions!$C$33</f>
        <v>15.7499231303357</v>
      </c>
      <c r="H19" s="40" t="n">
        <f aca="false">MAX(0,H13)*Assumptions!$C$33</f>
        <v>16.4397513277371</v>
      </c>
      <c r="I19" s="40" t="n">
        <f aca="false">MAX(0,I13)*Assumptions!$C$33</f>
        <v>17.1256935511736</v>
      </c>
      <c r="J19" s="40" t="n">
        <f aca="false">MAX(0,J13)*Assumptions!$C$33</f>
        <v>17.8075914026313</v>
      </c>
      <c r="K19" s="40" t="n">
        <f aca="false">MAX(0,K13)*Assumptions!$C$33</f>
        <v>18.4852819143876</v>
      </c>
      <c r="L19" s="40" t="n">
        <f aca="false">MAX(0,L13)*Assumptions!$C$33</f>
        <v>19.1585974112779</v>
      </c>
    </row>
    <row r="20" customFormat="false" ht="15" hidden="false" customHeight="false" outlineLevel="0" collapsed="false">
      <c r="B20" s="20" t="s">
        <v>147</v>
      </c>
      <c r="C20" s="40" t="n">
        <f aca="false">-MAX(C18,C19)</f>
        <v>-12.5145653618769</v>
      </c>
      <c r="D20" s="40" t="n">
        <f aca="false">-MAX(D18,D19)</f>
        <v>-13.6586409098825</v>
      </c>
      <c r="E20" s="40" t="n">
        <f aca="false">-MAX(E18,E19)</f>
        <v>-14.3592203555931</v>
      </c>
      <c r="F20" s="40" t="n">
        <f aca="false">-MAX(F18,F19)</f>
        <v>-15.0563629209976</v>
      </c>
      <c r="G20" s="40" t="n">
        <f aca="false">-MAX(G18,G19)</f>
        <v>-17.3202745932022</v>
      </c>
      <c r="H20" s="40" t="n">
        <f aca="false">-MAX(H18,H19)</f>
        <v>-28.4574503436144</v>
      </c>
      <c r="I20" s="40" t="n">
        <f aca="false">-MAX(I18,I19)</f>
        <v>-35.5387872814341</v>
      </c>
      <c r="J20" s="40" t="n">
        <f aca="false">-MAX(J18,J19)</f>
        <v>-40.1841086435927</v>
      </c>
      <c r="K20" s="40" t="n">
        <f aca="false">-MAX(K18,K19)</f>
        <v>-43.3652087352581</v>
      </c>
      <c r="L20" s="40" t="n">
        <f aca="false">-MAX(L18,L19)</f>
        <v>-45.6650616194056</v>
      </c>
    </row>
    <row r="22" customFormat="false" ht="15" hidden="false" customHeight="false" outlineLevel="0" collapsed="false">
      <c r="B22" s="36" t="s">
        <v>148</v>
      </c>
      <c r="C22" s="41" t="n">
        <f aca="false">C13+C20</f>
        <v>60.4141372131632</v>
      </c>
      <c r="D22" s="41" t="n">
        <f aca="false">D13+D20</f>
        <v>65.9371685882675</v>
      </c>
      <c r="E22" s="41" t="n">
        <f aca="false">E13+E20</f>
        <v>69.3192199450661</v>
      </c>
      <c r="F22" s="41" t="n">
        <f aca="false">F13+F20</f>
        <v>72.6846797421584</v>
      </c>
      <c r="G22" s="41" t="n">
        <f aca="false">G13+G20</f>
        <v>74.462494231598</v>
      </c>
      <c r="H22" s="41" t="n">
        <f aca="false">H13+H20</f>
        <v>67.3452963215202</v>
      </c>
      <c r="I22" s="41" t="n">
        <f aca="false">I13+I20</f>
        <v>64.2612916881093</v>
      </c>
      <c r="J22" s="41" t="n">
        <f aca="false">J13+J20</f>
        <v>63.5897340290838</v>
      </c>
      <c r="K22" s="41" t="n">
        <f aca="false">K13+K20</f>
        <v>64.3578793439239</v>
      </c>
      <c r="L22" s="41" t="n">
        <f aca="false">L13+L20</f>
        <v>65.9817764416545</v>
      </c>
    </row>
    <row r="23" customFormat="false" ht="15" hidden="false" customHeight="false" outlineLevel="0" collapsed="false">
      <c r="B23" s="20" t="s">
        <v>149</v>
      </c>
      <c r="C23" s="34" t="n">
        <f aca="false">C22/C7</f>
        <v>0.189925599671094</v>
      </c>
      <c r="D23" s="34" t="n">
        <f aca="false">D22/D7</f>
        <v>0.206663516198745</v>
      </c>
      <c r="E23" s="34" t="n">
        <f aca="false">E22/E7</f>
        <v>0.218355485297477</v>
      </c>
      <c r="F23" s="34" t="n">
        <f aca="false">F22/F7</f>
        <v>0.230107216950002</v>
      </c>
      <c r="G23" s="34" t="n">
        <f aca="false">G22/G7</f>
        <v>0.236920072757295</v>
      </c>
      <c r="H23" s="34" t="n">
        <f aca="false">H22/H7</f>
        <v>0.215351779753299</v>
      </c>
      <c r="I23" s="34" t="n">
        <f aca="false">I22/I7</f>
        <v>0.206522592070564</v>
      </c>
      <c r="J23" s="34" t="n">
        <f aca="false">J22/J7</f>
        <v>0.205391300194897</v>
      </c>
      <c r="K23" s="34" t="n">
        <f aca="false">K22/K7</f>
        <v>0.208916951548727</v>
      </c>
      <c r="L23" s="34" t="n">
        <f aca="false">L22/L7</f>
        <v>0.215264729675487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L2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4"/>
    <col collapsed="false" customWidth="true" hidden="false" outlineLevel="0" max="12" min="3" style="0" width="11"/>
  </cols>
  <sheetData>
    <row r="2" customFormat="false" ht="17.35" hidden="false" customHeight="false" outlineLevel="0" collapsed="false">
      <c r="B2" s="16" t="s">
        <v>43</v>
      </c>
    </row>
    <row r="3" customFormat="false" ht="15" hidden="false" customHeight="false" outlineLevel="0" collapsed="false">
      <c r="B3" s="17" t="s">
        <v>150</v>
      </c>
    </row>
    <row r="4" customFormat="false" ht="15" hidden="false" customHeight="false" outlineLevel="0" collapsed="false">
      <c r="B4" s="5" t="s">
        <v>134</v>
      </c>
    </row>
    <row r="6" customFormat="false" ht="15" hidden="false" customHeight="false" outlineLevel="0" collapsed="false">
      <c r="B6" s="31" t="s">
        <v>98</v>
      </c>
      <c r="C6" s="32" t="s">
        <v>99</v>
      </c>
      <c r="D6" s="32" t="s">
        <v>100</v>
      </c>
      <c r="E6" s="32" t="s">
        <v>101</v>
      </c>
      <c r="F6" s="32" t="s">
        <v>102</v>
      </c>
      <c r="G6" s="32" t="s">
        <v>103</v>
      </c>
      <c r="H6" s="32" t="s">
        <v>104</v>
      </c>
      <c r="I6" s="32" t="s">
        <v>105</v>
      </c>
      <c r="J6" s="32" t="s">
        <v>106</v>
      </c>
      <c r="K6" s="32" t="s">
        <v>107</v>
      </c>
      <c r="L6" s="32" t="s">
        <v>108</v>
      </c>
    </row>
    <row r="7" customFormat="false" ht="15" hidden="false" customHeight="false" outlineLevel="0" collapsed="false">
      <c r="B7" s="18" t="s">
        <v>151</v>
      </c>
      <c r="C7" s="19"/>
      <c r="D7" s="19"/>
      <c r="E7" s="19"/>
      <c r="F7" s="19"/>
      <c r="G7" s="19"/>
      <c r="H7" s="19"/>
      <c r="I7" s="19"/>
      <c r="J7" s="19"/>
      <c r="K7" s="19"/>
      <c r="L7" s="19"/>
    </row>
    <row r="8" customFormat="false" ht="15" hidden="false" customHeight="false" outlineLevel="0" collapsed="false">
      <c r="B8" s="20" t="s">
        <v>152</v>
      </c>
      <c r="C8" s="46" t="n">
        <f aca="false">'Income Statement'!C22</f>
        <v>60.4141372131632</v>
      </c>
      <c r="D8" s="46" t="n">
        <f aca="false">'Income Statement'!D22</f>
        <v>65.9371685882675</v>
      </c>
      <c r="E8" s="46" t="n">
        <f aca="false">'Income Statement'!E22</f>
        <v>69.3192199450661</v>
      </c>
      <c r="F8" s="46" t="n">
        <f aca="false">'Income Statement'!F22</f>
        <v>72.6846797421584</v>
      </c>
      <c r="G8" s="46" t="n">
        <f aca="false">'Income Statement'!G22</f>
        <v>74.462494231598</v>
      </c>
      <c r="H8" s="46" t="n">
        <f aca="false">'Income Statement'!H22</f>
        <v>67.3452963215202</v>
      </c>
      <c r="I8" s="46" t="n">
        <f aca="false">'Income Statement'!I22</f>
        <v>64.2612916881093</v>
      </c>
      <c r="J8" s="46" t="n">
        <f aca="false">'Income Statement'!J22</f>
        <v>63.5897340290838</v>
      </c>
      <c r="K8" s="46" t="n">
        <f aca="false">'Income Statement'!K22</f>
        <v>64.3578793439239</v>
      </c>
      <c r="L8" s="46" t="n">
        <f aca="false">'Income Statement'!L22</f>
        <v>65.9817764416545</v>
      </c>
    </row>
    <row r="9" customFormat="false" ht="15" hidden="false" customHeight="false" outlineLevel="0" collapsed="false">
      <c r="B9" s="20" t="s">
        <v>153</v>
      </c>
      <c r="C9" s="46" t="n">
        <f aca="false">-'Income Statement'!C10</f>
        <v>77.6</v>
      </c>
      <c r="D9" s="46" t="n">
        <f aca="false">-'Income Statement'!D10</f>
        <v>77.6</v>
      </c>
      <c r="E9" s="46" t="n">
        <f aca="false">-'Income Statement'!E10</f>
        <v>77.6</v>
      </c>
      <c r="F9" s="46" t="n">
        <f aca="false">-'Income Statement'!F10</f>
        <v>77.6</v>
      </c>
      <c r="G9" s="46" t="n">
        <f aca="false">-'Income Statement'!G10</f>
        <v>77.6</v>
      </c>
      <c r="H9" s="46" t="n">
        <f aca="false">-'Income Statement'!H10</f>
        <v>77.6</v>
      </c>
      <c r="I9" s="46" t="n">
        <f aca="false">-'Income Statement'!I10</f>
        <v>77.6</v>
      </c>
      <c r="J9" s="46" t="n">
        <f aca="false">-'Income Statement'!J10</f>
        <v>77.6</v>
      </c>
      <c r="K9" s="46" t="n">
        <f aca="false">-'Income Statement'!K10</f>
        <v>77.6</v>
      </c>
      <c r="L9" s="46" t="n">
        <f aca="false">-'Income Statement'!L10</f>
        <v>77.6</v>
      </c>
    </row>
    <row r="10" customFormat="false" ht="15" hidden="false" customHeight="false" outlineLevel="0" collapsed="false">
      <c r="B10" s="20" t="s">
        <v>154</v>
      </c>
      <c r="C10" s="40" t="n">
        <f aca="false">0</f>
        <v>0</v>
      </c>
      <c r="D10" s="40" t="n">
        <f aca="false">-((Assumptions!$C$29/365)*'Generation &amp; Revenue'!D13-(Assumptions!$C$29/365)*'Generation &amp; Revenue'!C13)</f>
        <v>-0.118599894629995</v>
      </c>
      <c r="E10" s="40" t="n">
        <f aca="false">-((Assumptions!$C$29/365)*'Generation &amp; Revenue'!E13-(Assumptions!$C$29/365)*'Generation &amp; Revenue'!D13)</f>
        <v>0.19667815859475</v>
      </c>
      <c r="F10" s="40" t="n">
        <f aca="false">-((Assumptions!$C$29/365)*'Generation &amp; Revenue'!F13-(Assumptions!$C$29/365)*'Generation &amp; Revenue'!E13)</f>
        <v>0.195694767801783</v>
      </c>
      <c r="G10" s="40" t="n">
        <f aca="false">-((Assumptions!$C$29/365)*'Generation &amp; Revenue'!G13-(Assumptions!$C$29/365)*'Generation &amp; Revenue'!F13)</f>
        <v>0.194716293962763</v>
      </c>
      <c r="H10" s="40" t="n">
        <f aca="false">-((Assumptions!$C$29/365)*'Generation &amp; Revenue'!H13-(Assumptions!$C$29/365)*'Generation &amp; Revenue'!G13)</f>
        <v>0.193742712492956</v>
      </c>
      <c r="I10" s="40" t="n">
        <f aca="false">-((Assumptions!$C$29/365)*'Generation &amp; Revenue'!I13-(Assumptions!$C$29/365)*'Generation &amp; Revenue'!H13)</f>
        <v>0.192773998930477</v>
      </c>
      <c r="J10" s="40" t="n">
        <f aca="false">-((Assumptions!$C$29/365)*'Generation &amp; Revenue'!J13-(Assumptions!$C$29/365)*'Generation &amp; Revenue'!I13)</f>
        <v>0.191810128935842</v>
      </c>
      <c r="K10" s="40" t="n">
        <f aca="false">-((Assumptions!$C$29/365)*'Generation &amp; Revenue'!K13-(Assumptions!$C$29/365)*'Generation &amp; Revenue'!J13)</f>
        <v>0.190851078291168</v>
      </c>
      <c r="L10" s="40" t="n">
        <f aca="false">-((Assumptions!$C$29/365)*'Generation &amp; Revenue'!L13-(Assumptions!$C$29/365)*'Generation &amp; Revenue'!K13)</f>
        <v>0.189896822899698</v>
      </c>
    </row>
    <row r="11" customFormat="false" ht="15" hidden="false" customHeight="false" outlineLevel="0" collapsed="false">
      <c r="B11" s="36" t="s">
        <v>155</v>
      </c>
      <c r="C11" s="39" t="n">
        <f aca="false">SUM(C8:C10)</f>
        <v>138.014137213163</v>
      </c>
      <c r="D11" s="39" t="n">
        <f aca="false">SUM(D8:D10)</f>
        <v>143.418568693637</v>
      </c>
      <c r="E11" s="39" t="n">
        <f aca="false">SUM(E8:E10)</f>
        <v>147.115898103661</v>
      </c>
      <c r="F11" s="39" t="n">
        <f aca="false">SUM(F8:F10)</f>
        <v>150.48037450996</v>
      </c>
      <c r="G11" s="39" t="n">
        <f aca="false">SUM(G8:G10)</f>
        <v>152.257210525561</v>
      </c>
      <c r="H11" s="39" t="n">
        <f aca="false">SUM(H8:H10)</f>
        <v>145.139039034013</v>
      </c>
      <c r="I11" s="39" t="n">
        <f aca="false">SUM(I8:I10)</f>
        <v>142.05406568704</v>
      </c>
      <c r="J11" s="39" t="n">
        <f aca="false">SUM(J8:J10)</f>
        <v>141.38154415802</v>
      </c>
      <c r="K11" s="39" t="n">
        <f aca="false">SUM(K8:K10)</f>
        <v>142.148730422215</v>
      </c>
      <c r="L11" s="39" t="n">
        <f aca="false">SUM(L8:L10)</f>
        <v>143.771673264554</v>
      </c>
    </row>
    <row r="13" customFormat="false" ht="15" hidden="false" customHeight="false" outlineLevel="0" collapsed="false">
      <c r="B13" s="18" t="s">
        <v>156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</row>
    <row r="14" customFormat="false" ht="15" hidden="false" customHeight="false" outlineLevel="0" collapsed="false">
      <c r="B14" s="20" t="s">
        <v>157</v>
      </c>
      <c r="C14" s="40" t="n">
        <f aca="false">-Assumptions!$C$28</f>
        <v>-2.55</v>
      </c>
      <c r="D14" s="40" t="n">
        <f aca="false">-Assumptions!$C$28</f>
        <v>-2.55</v>
      </c>
      <c r="E14" s="40" t="n">
        <f aca="false">-Assumptions!$C$28</f>
        <v>-2.55</v>
      </c>
      <c r="F14" s="40" t="n">
        <f aca="false">-Assumptions!$C$28</f>
        <v>-2.55</v>
      </c>
      <c r="G14" s="40" t="n">
        <f aca="false">-Assumptions!$C$28</f>
        <v>-2.55</v>
      </c>
      <c r="H14" s="40" t="n">
        <f aca="false">-Assumptions!$C$28</f>
        <v>-2.55</v>
      </c>
      <c r="I14" s="40" t="n">
        <f aca="false">-Assumptions!$C$28</f>
        <v>-2.55</v>
      </c>
      <c r="J14" s="40" t="n">
        <f aca="false">-Assumptions!$C$28</f>
        <v>-2.55</v>
      </c>
      <c r="K14" s="40" t="n">
        <f aca="false">-Assumptions!$C$28</f>
        <v>-2.55</v>
      </c>
      <c r="L14" s="40" t="n">
        <f aca="false">-Assumptions!$C$28</f>
        <v>-2.55</v>
      </c>
    </row>
    <row r="15" customFormat="false" ht="15" hidden="false" customHeight="false" outlineLevel="0" collapsed="false">
      <c r="B15" s="36" t="s">
        <v>158</v>
      </c>
      <c r="C15" s="39" t="n">
        <f aca="false">C14</f>
        <v>-2.55</v>
      </c>
      <c r="D15" s="39" t="n">
        <f aca="false">D14</f>
        <v>-2.55</v>
      </c>
      <c r="E15" s="39" t="n">
        <f aca="false">E14</f>
        <v>-2.55</v>
      </c>
      <c r="F15" s="39" t="n">
        <f aca="false">F14</f>
        <v>-2.55</v>
      </c>
      <c r="G15" s="39" t="n">
        <f aca="false">G14</f>
        <v>-2.55</v>
      </c>
      <c r="H15" s="39" t="n">
        <f aca="false">H14</f>
        <v>-2.55</v>
      </c>
      <c r="I15" s="39" t="n">
        <f aca="false">I14</f>
        <v>-2.55</v>
      </c>
      <c r="J15" s="39" t="n">
        <f aca="false">J14</f>
        <v>-2.55</v>
      </c>
      <c r="K15" s="39" t="n">
        <f aca="false">K14</f>
        <v>-2.55</v>
      </c>
      <c r="L15" s="39" t="n">
        <f aca="false">L14</f>
        <v>-2.55</v>
      </c>
    </row>
    <row r="17" customFormat="false" ht="15" hidden="false" customHeight="false" outlineLevel="0" collapsed="false">
      <c r="B17" s="18" t="s">
        <v>159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</row>
    <row r="18" customFormat="false" ht="15" hidden="false" customHeight="false" outlineLevel="0" collapsed="false">
      <c r="B18" s="20" t="s">
        <v>160</v>
      </c>
      <c r="C18" s="46" t="n">
        <f aca="false">-'Debt Schedule'!C9</f>
        <v>-72.265</v>
      </c>
      <c r="D18" s="46" t="n">
        <f aca="false">-'Debt Schedule'!D9</f>
        <v>-72.265</v>
      </c>
      <c r="E18" s="46" t="n">
        <f aca="false">-'Debt Schedule'!E9</f>
        <v>-72.265</v>
      </c>
      <c r="F18" s="46" t="n">
        <f aca="false">-'Debt Schedule'!F9</f>
        <v>-72.265</v>
      </c>
      <c r="G18" s="46" t="n">
        <f aca="false">-'Debt Schedule'!G9</f>
        <v>-72.265</v>
      </c>
      <c r="H18" s="46" t="n">
        <f aca="false">-'Debt Schedule'!H9</f>
        <v>-72.265</v>
      </c>
      <c r="I18" s="46" t="n">
        <f aca="false">-'Debt Schedule'!I9</f>
        <v>-72.265</v>
      </c>
      <c r="J18" s="46" t="n">
        <f aca="false">-'Debt Schedule'!J9</f>
        <v>-72.265</v>
      </c>
      <c r="K18" s="46" t="n">
        <f aca="false">-'Debt Schedule'!K9</f>
        <v>-72.265</v>
      </c>
      <c r="L18" s="46" t="n">
        <f aca="false">-'Debt Schedule'!L9</f>
        <v>-72.265</v>
      </c>
    </row>
    <row r="19" customFormat="false" ht="15" hidden="false" customHeight="false" outlineLevel="0" collapsed="false">
      <c r="B19" s="20" t="s">
        <v>161</v>
      </c>
      <c r="C19" s="40" t="n">
        <f aca="false">-MAX(0,(C23+C11+C15-'Debt Schedule'!C9)-Assumptions!$C$30)</f>
        <v>-63.1991372131632</v>
      </c>
      <c r="D19" s="40" t="n">
        <f aca="false">-MAX(0,(D23+D11+D15-'Debt Schedule'!D9)-Assumptions!$C$30)</f>
        <v>-68.6035686936374</v>
      </c>
      <c r="E19" s="40" t="n">
        <f aca="false">-MAX(0,(E23+E11+E15-'Debt Schedule'!E9)-Assumptions!$C$30)</f>
        <v>-72.3008981036609</v>
      </c>
      <c r="F19" s="40" t="n">
        <f aca="false">-MAX(0,(F23+F11+F15-'Debt Schedule'!F9)-Assumptions!$C$30)</f>
        <v>-75.6653745099602</v>
      </c>
      <c r="G19" s="40" t="n">
        <f aca="false">-MAX(0,(G23+G11+G15-'Debt Schedule'!G9)-Assumptions!$C$30)</f>
        <v>-77.4422105255607</v>
      </c>
      <c r="H19" s="40" t="n">
        <f aca="false">-MAX(0,(H23+H11+H15-'Debt Schedule'!H9)-Assumptions!$C$30)</f>
        <v>-70.3240390340132</v>
      </c>
      <c r="I19" s="40" t="n">
        <f aca="false">-MAX(0,(I23+I11+I15-'Debt Schedule'!I9)-Assumptions!$C$30)</f>
        <v>-67.2390656870397</v>
      </c>
      <c r="J19" s="40" t="n">
        <f aca="false">-MAX(0,(J23+J11+J15-'Debt Schedule'!J9)-Assumptions!$C$30)</f>
        <v>-66.5665441580196</v>
      </c>
      <c r="K19" s="40" t="n">
        <f aca="false">-MAX(0,(K23+K11+K15-'Debt Schedule'!K9)-Assumptions!$C$30)</f>
        <v>-67.333730422215</v>
      </c>
      <c r="L19" s="40" t="n">
        <f aca="false">-MAX(0,(L23+L11+L15-'Debt Schedule'!L9)-Assumptions!$C$30)</f>
        <v>-68.9566732645541</v>
      </c>
    </row>
    <row r="20" customFormat="false" ht="15" hidden="false" customHeight="false" outlineLevel="0" collapsed="false">
      <c r="B20" s="36" t="s">
        <v>162</v>
      </c>
      <c r="C20" s="39" t="n">
        <f aca="false">C18+C19</f>
        <v>-135.464137213163</v>
      </c>
      <c r="D20" s="39" t="n">
        <f aca="false">D18+D19</f>
        <v>-140.868568693637</v>
      </c>
      <c r="E20" s="39" t="n">
        <f aca="false">E18+E19</f>
        <v>-144.565898103661</v>
      </c>
      <c r="F20" s="39" t="n">
        <f aca="false">F18+F19</f>
        <v>-147.93037450996</v>
      </c>
      <c r="G20" s="39" t="n">
        <f aca="false">G18+G19</f>
        <v>-149.707210525561</v>
      </c>
      <c r="H20" s="39" t="n">
        <f aca="false">H18+H19</f>
        <v>-142.589039034013</v>
      </c>
      <c r="I20" s="39" t="n">
        <f aca="false">I18+I19</f>
        <v>-139.50406568704</v>
      </c>
      <c r="J20" s="39" t="n">
        <f aca="false">J18+J19</f>
        <v>-138.83154415802</v>
      </c>
      <c r="K20" s="39" t="n">
        <f aca="false">K18+K19</f>
        <v>-139.598730422215</v>
      </c>
      <c r="L20" s="39" t="n">
        <f aca="false">L18+L19</f>
        <v>-141.221673264554</v>
      </c>
    </row>
    <row r="22" customFormat="false" ht="15" hidden="false" customHeight="false" outlineLevel="0" collapsed="false">
      <c r="B22" s="36" t="s">
        <v>163</v>
      </c>
      <c r="C22" s="42" t="n">
        <f aca="false">C11+C15+C20</f>
        <v>0</v>
      </c>
      <c r="D22" s="42" t="n">
        <f aca="false">D11+D15+D20</f>
        <v>0</v>
      </c>
      <c r="E22" s="42" t="n">
        <f aca="false">E11+E15+E20</f>
        <v>0</v>
      </c>
      <c r="F22" s="42" t="n">
        <f aca="false">F11+F15+F20</f>
        <v>0</v>
      </c>
      <c r="G22" s="42" t="n">
        <f aca="false">G11+G15+G20</f>
        <v>0</v>
      </c>
      <c r="H22" s="42" t="n">
        <f aca="false">H11+H15+H20</f>
        <v>0</v>
      </c>
      <c r="I22" s="42" t="n">
        <f aca="false">I11+I15+I20</f>
        <v>0</v>
      </c>
      <c r="J22" s="42" t="n">
        <f aca="false">J11+J15+J20</f>
        <v>0</v>
      </c>
      <c r="K22" s="42" t="n">
        <f aca="false">K11+K15+K20</f>
        <v>0</v>
      </c>
      <c r="L22" s="42" t="n">
        <f aca="false">L11+L15+L20</f>
        <v>0</v>
      </c>
    </row>
    <row r="23" customFormat="false" ht="15" hidden="false" customHeight="false" outlineLevel="0" collapsed="false">
      <c r="B23" s="20" t="s">
        <v>164</v>
      </c>
      <c r="C23" s="40" t="n">
        <f aca="false">Assumptions!$C$30</f>
        <v>55</v>
      </c>
      <c r="D23" s="40" t="n">
        <f aca="false">C24</f>
        <v>55</v>
      </c>
      <c r="E23" s="40" t="n">
        <f aca="false">D24</f>
        <v>55</v>
      </c>
      <c r="F23" s="40" t="n">
        <f aca="false">E24</f>
        <v>55</v>
      </c>
      <c r="G23" s="40" t="n">
        <f aca="false">F24</f>
        <v>55</v>
      </c>
      <c r="H23" s="40" t="n">
        <f aca="false">G24</f>
        <v>55</v>
      </c>
      <c r="I23" s="40" t="n">
        <f aca="false">H24</f>
        <v>55</v>
      </c>
      <c r="J23" s="40" t="n">
        <f aca="false">I24</f>
        <v>55</v>
      </c>
      <c r="K23" s="40" t="n">
        <f aca="false">J24</f>
        <v>55</v>
      </c>
      <c r="L23" s="40" t="n">
        <f aca="false">K24</f>
        <v>55</v>
      </c>
    </row>
    <row r="24" customFormat="false" ht="15" hidden="false" customHeight="false" outlineLevel="0" collapsed="false">
      <c r="B24" s="36" t="s">
        <v>165</v>
      </c>
      <c r="C24" s="41" t="n">
        <f aca="false">C23+C22</f>
        <v>55</v>
      </c>
      <c r="D24" s="41" t="n">
        <f aca="false">D23+D22</f>
        <v>55</v>
      </c>
      <c r="E24" s="41" t="n">
        <f aca="false">E23+E22</f>
        <v>55</v>
      </c>
      <c r="F24" s="41" t="n">
        <f aca="false">F23+F22</f>
        <v>55</v>
      </c>
      <c r="G24" s="41" t="n">
        <f aca="false">G23+G22</f>
        <v>55</v>
      </c>
      <c r="H24" s="41" t="n">
        <f aca="false">H23+H22</f>
        <v>55</v>
      </c>
      <c r="I24" s="41" t="n">
        <f aca="false">I23+I22</f>
        <v>55</v>
      </c>
      <c r="J24" s="41" t="n">
        <f aca="false">J23+J22</f>
        <v>55</v>
      </c>
      <c r="K24" s="41" t="n">
        <f aca="false">K23+K22</f>
        <v>55</v>
      </c>
      <c r="L24" s="41" t="n">
        <f aca="false">L23+L22</f>
        <v>55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L2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4"/>
    <col collapsed="false" customWidth="true" hidden="false" outlineLevel="0" max="12" min="3" style="0" width="11"/>
  </cols>
  <sheetData>
    <row r="2" customFormat="false" ht="17.35" hidden="false" customHeight="false" outlineLevel="0" collapsed="false">
      <c r="B2" s="16" t="s">
        <v>43</v>
      </c>
    </row>
    <row r="3" customFormat="false" ht="15" hidden="false" customHeight="false" outlineLevel="0" collapsed="false">
      <c r="B3" s="17" t="s">
        <v>166</v>
      </c>
    </row>
    <row r="4" customFormat="false" ht="15" hidden="false" customHeight="false" outlineLevel="0" collapsed="false">
      <c r="B4" s="5" t="s">
        <v>134</v>
      </c>
    </row>
    <row r="6" customFormat="false" ht="15" hidden="false" customHeight="false" outlineLevel="0" collapsed="false">
      <c r="B6" s="31" t="s">
        <v>98</v>
      </c>
      <c r="C6" s="32" t="s">
        <v>99</v>
      </c>
      <c r="D6" s="32" t="s">
        <v>100</v>
      </c>
      <c r="E6" s="32" t="s">
        <v>101</v>
      </c>
      <c r="F6" s="32" t="s">
        <v>102</v>
      </c>
      <c r="G6" s="32" t="s">
        <v>103</v>
      </c>
      <c r="H6" s="32" t="s">
        <v>104</v>
      </c>
      <c r="I6" s="32" t="s">
        <v>105</v>
      </c>
      <c r="J6" s="32" t="s">
        <v>106</v>
      </c>
      <c r="K6" s="32" t="s">
        <v>107</v>
      </c>
      <c r="L6" s="32" t="s">
        <v>108</v>
      </c>
    </row>
    <row r="7" customFormat="false" ht="15" hidden="false" customHeight="false" outlineLevel="0" collapsed="false">
      <c r="B7" s="18" t="s">
        <v>167</v>
      </c>
      <c r="C7" s="19"/>
      <c r="D7" s="19"/>
      <c r="E7" s="19"/>
      <c r="F7" s="19"/>
      <c r="G7" s="19"/>
      <c r="H7" s="19"/>
      <c r="I7" s="19"/>
      <c r="J7" s="19"/>
      <c r="K7" s="19"/>
      <c r="L7" s="19"/>
    </row>
    <row r="8" customFormat="false" ht="15" hidden="false" customHeight="false" outlineLevel="0" collapsed="false">
      <c r="B8" s="20" t="s">
        <v>168</v>
      </c>
      <c r="C8" s="40" t="n">
        <f aca="false">Assumptions!$C$22+Assumptions!$C$28*1</f>
        <v>1942.55</v>
      </c>
      <c r="D8" s="40" t="n">
        <f aca="false">Assumptions!$C$22+Assumptions!$C$28*2</f>
        <v>1945.1</v>
      </c>
      <c r="E8" s="40" t="n">
        <f aca="false">Assumptions!$C$22+Assumptions!$C$28*3</f>
        <v>1947.65</v>
      </c>
      <c r="F8" s="40" t="n">
        <f aca="false">Assumptions!$C$22+Assumptions!$C$28*4</f>
        <v>1950.2</v>
      </c>
      <c r="G8" s="40" t="n">
        <f aca="false">Assumptions!$C$22+Assumptions!$C$28*5</f>
        <v>1952.75</v>
      </c>
      <c r="H8" s="40" t="n">
        <f aca="false">Assumptions!$C$22+Assumptions!$C$28*6</f>
        <v>1955.3</v>
      </c>
      <c r="I8" s="40" t="n">
        <f aca="false">Assumptions!$C$22+Assumptions!$C$28*7</f>
        <v>1957.85</v>
      </c>
      <c r="J8" s="40" t="n">
        <f aca="false">Assumptions!$C$22+Assumptions!$C$28*8</f>
        <v>1960.4</v>
      </c>
      <c r="K8" s="40" t="n">
        <f aca="false">Assumptions!$C$22+Assumptions!$C$28*9</f>
        <v>1962.95</v>
      </c>
      <c r="L8" s="40" t="n">
        <f aca="false">Assumptions!$C$22+Assumptions!$C$28*10</f>
        <v>1965.5</v>
      </c>
    </row>
    <row r="9" customFormat="false" ht="15" hidden="false" customHeight="false" outlineLevel="0" collapsed="false">
      <c r="B9" s="20" t="s">
        <v>169</v>
      </c>
      <c r="C9" s="40" t="n">
        <f aca="false">-(Assumptions!$C$22/Assumptions!$C$35)*1</f>
        <v>-77.6</v>
      </c>
      <c r="D9" s="40" t="n">
        <f aca="false">-(Assumptions!$C$22/Assumptions!$C$35)*2</f>
        <v>-155.2</v>
      </c>
      <c r="E9" s="40" t="n">
        <f aca="false">-(Assumptions!$C$22/Assumptions!$C$35)*3</f>
        <v>-232.8</v>
      </c>
      <c r="F9" s="40" t="n">
        <f aca="false">-(Assumptions!$C$22/Assumptions!$C$35)*4</f>
        <v>-310.4</v>
      </c>
      <c r="G9" s="40" t="n">
        <f aca="false">-(Assumptions!$C$22/Assumptions!$C$35)*5</f>
        <v>-388</v>
      </c>
      <c r="H9" s="40" t="n">
        <f aca="false">-(Assumptions!$C$22/Assumptions!$C$35)*6</f>
        <v>-465.6</v>
      </c>
      <c r="I9" s="40" t="n">
        <f aca="false">-(Assumptions!$C$22/Assumptions!$C$35)*7</f>
        <v>-543.2</v>
      </c>
      <c r="J9" s="40" t="n">
        <f aca="false">-(Assumptions!$C$22/Assumptions!$C$35)*8</f>
        <v>-620.8</v>
      </c>
      <c r="K9" s="40" t="n">
        <f aca="false">-(Assumptions!$C$22/Assumptions!$C$35)*9</f>
        <v>-698.4</v>
      </c>
      <c r="L9" s="40" t="n">
        <f aca="false">-(Assumptions!$C$22/Assumptions!$C$35)*10</f>
        <v>-776</v>
      </c>
    </row>
    <row r="10" customFormat="false" ht="15" hidden="false" customHeight="false" outlineLevel="0" collapsed="false">
      <c r="B10" s="36" t="s">
        <v>170</v>
      </c>
      <c r="C10" s="39" t="n">
        <f aca="false">C8+C9</f>
        <v>1864.95</v>
      </c>
      <c r="D10" s="39" t="n">
        <f aca="false">D8+D9</f>
        <v>1789.9</v>
      </c>
      <c r="E10" s="39" t="n">
        <f aca="false">E8+E9</f>
        <v>1714.85</v>
      </c>
      <c r="F10" s="39" t="n">
        <f aca="false">F8+F9</f>
        <v>1639.8</v>
      </c>
      <c r="G10" s="39" t="n">
        <f aca="false">G8+G9</f>
        <v>1564.75</v>
      </c>
      <c r="H10" s="39" t="n">
        <f aca="false">H8+H9</f>
        <v>1489.7</v>
      </c>
      <c r="I10" s="39" t="n">
        <f aca="false">I8+I9</f>
        <v>1414.65</v>
      </c>
      <c r="J10" s="39" t="n">
        <f aca="false">J8+J9</f>
        <v>1339.6</v>
      </c>
      <c r="K10" s="39" t="n">
        <f aca="false">K8+K9</f>
        <v>1264.55</v>
      </c>
      <c r="L10" s="39" t="n">
        <f aca="false">L8+L9</f>
        <v>1189.5</v>
      </c>
    </row>
    <row r="11" customFormat="false" ht="15" hidden="false" customHeight="false" outlineLevel="0" collapsed="false">
      <c r="B11" s="20" t="s">
        <v>171</v>
      </c>
      <c r="C11" s="40" t="n">
        <f aca="false">(Assumptions!$C$29/365)*'Generation &amp; Revenue'!C13</f>
        <v>39.21703182432</v>
      </c>
      <c r="D11" s="40" t="n">
        <f aca="false">(Assumptions!$C$29/365)*'Generation &amp; Revenue'!D13</f>
        <v>39.33563171895</v>
      </c>
      <c r="E11" s="40" t="n">
        <f aca="false">(Assumptions!$C$29/365)*'Generation &amp; Revenue'!E13</f>
        <v>39.1389535603553</v>
      </c>
      <c r="F11" s="40" t="n">
        <f aca="false">(Assumptions!$C$29/365)*'Generation &amp; Revenue'!F13</f>
        <v>38.9432587925535</v>
      </c>
      <c r="G11" s="40" t="n">
        <f aca="false">(Assumptions!$C$29/365)*'Generation &amp; Revenue'!G13</f>
        <v>38.7485424985907</v>
      </c>
      <c r="H11" s="40" t="n">
        <f aca="false">(Assumptions!$C$29/365)*'Generation &amp; Revenue'!H13</f>
        <v>38.5547997860977</v>
      </c>
      <c r="I11" s="40" t="n">
        <f aca="false">(Assumptions!$C$29/365)*'Generation &amp; Revenue'!I13</f>
        <v>38.3620257871673</v>
      </c>
      <c r="J11" s="40" t="n">
        <f aca="false">(Assumptions!$C$29/365)*'Generation &amp; Revenue'!J13</f>
        <v>38.1702156582314</v>
      </c>
      <c r="K11" s="40" t="n">
        <f aca="false">(Assumptions!$C$29/365)*'Generation &amp; Revenue'!K13</f>
        <v>37.9793645799403</v>
      </c>
      <c r="L11" s="40" t="n">
        <f aca="false">(Assumptions!$C$29/365)*'Generation &amp; Revenue'!L13</f>
        <v>37.7894677570406</v>
      </c>
    </row>
    <row r="12" customFormat="false" ht="15" hidden="false" customHeight="false" outlineLevel="0" collapsed="false">
      <c r="B12" s="20" t="s">
        <v>172</v>
      </c>
      <c r="C12" s="46" t="n">
        <f aca="false">'Cash Flow Statement'!C24</f>
        <v>55</v>
      </c>
      <c r="D12" s="46" t="n">
        <f aca="false">'Cash Flow Statement'!D24</f>
        <v>55</v>
      </c>
      <c r="E12" s="46" t="n">
        <f aca="false">'Cash Flow Statement'!E24</f>
        <v>55</v>
      </c>
      <c r="F12" s="46" t="n">
        <f aca="false">'Cash Flow Statement'!F24</f>
        <v>55</v>
      </c>
      <c r="G12" s="46" t="n">
        <f aca="false">'Cash Flow Statement'!G24</f>
        <v>55</v>
      </c>
      <c r="H12" s="46" t="n">
        <f aca="false">'Cash Flow Statement'!H24</f>
        <v>55</v>
      </c>
      <c r="I12" s="46" t="n">
        <f aca="false">'Cash Flow Statement'!I24</f>
        <v>55</v>
      </c>
      <c r="J12" s="46" t="n">
        <f aca="false">'Cash Flow Statement'!J24</f>
        <v>55</v>
      </c>
      <c r="K12" s="46" t="n">
        <f aca="false">'Cash Flow Statement'!K24</f>
        <v>55</v>
      </c>
      <c r="L12" s="46" t="n">
        <f aca="false">'Cash Flow Statement'!L24</f>
        <v>55</v>
      </c>
    </row>
    <row r="13" customFormat="false" ht="15" hidden="false" customHeight="false" outlineLevel="0" collapsed="false">
      <c r="B13" s="36" t="s">
        <v>173</v>
      </c>
      <c r="C13" s="41" t="n">
        <f aca="false">C10+C11+C12</f>
        <v>1959.16703182432</v>
      </c>
      <c r="D13" s="41" t="n">
        <f aca="false">D10+D11+D12</f>
        <v>1884.23563171895</v>
      </c>
      <c r="E13" s="41" t="n">
        <f aca="false">E10+E11+E12</f>
        <v>1808.98895356036</v>
      </c>
      <c r="F13" s="41" t="n">
        <f aca="false">F10+F11+F12</f>
        <v>1733.74325879255</v>
      </c>
      <c r="G13" s="41" t="n">
        <f aca="false">G10+G11+G12</f>
        <v>1658.49854249859</v>
      </c>
      <c r="H13" s="41" t="n">
        <f aca="false">H10+H11+H12</f>
        <v>1583.2547997861</v>
      </c>
      <c r="I13" s="41" t="n">
        <f aca="false">I10+I11+I12</f>
        <v>1508.01202578717</v>
      </c>
      <c r="J13" s="41" t="n">
        <f aca="false">J10+J11+J12</f>
        <v>1432.77021565823</v>
      </c>
      <c r="K13" s="41" t="n">
        <f aca="false">K10+K11+K12</f>
        <v>1357.52936457994</v>
      </c>
      <c r="L13" s="41" t="n">
        <f aca="false">L10+L11+L12</f>
        <v>1282.28946775704</v>
      </c>
    </row>
    <row r="15" customFormat="false" ht="15" hidden="false" customHeight="false" outlineLevel="0" collapsed="false">
      <c r="B15" s="18" t="s">
        <v>174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</row>
    <row r="16" customFormat="false" ht="15" hidden="false" customHeight="false" outlineLevel="0" collapsed="false">
      <c r="B16" s="20" t="s">
        <v>175</v>
      </c>
      <c r="C16" s="46" t="n">
        <f aca="false">'Debt Schedule'!C10</f>
        <v>1373.035</v>
      </c>
      <c r="D16" s="46" t="n">
        <f aca="false">'Debt Schedule'!D10</f>
        <v>1300.77</v>
      </c>
      <c r="E16" s="46" t="n">
        <f aca="false">'Debt Schedule'!E10</f>
        <v>1228.505</v>
      </c>
      <c r="F16" s="46" t="n">
        <f aca="false">'Debt Schedule'!F10</f>
        <v>1156.24</v>
      </c>
      <c r="G16" s="46" t="n">
        <f aca="false">'Debt Schedule'!G10</f>
        <v>1083.975</v>
      </c>
      <c r="H16" s="46" t="n">
        <f aca="false">'Debt Schedule'!H10</f>
        <v>1011.71</v>
      </c>
      <c r="I16" s="46" t="n">
        <f aca="false">'Debt Schedule'!I10</f>
        <v>939.445</v>
      </c>
      <c r="J16" s="46" t="n">
        <f aca="false">'Debt Schedule'!J10</f>
        <v>867.18</v>
      </c>
      <c r="K16" s="46" t="n">
        <f aca="false">'Debt Schedule'!K10</f>
        <v>794.915</v>
      </c>
      <c r="L16" s="46" t="n">
        <f aca="false">'Debt Schedule'!L10</f>
        <v>722.65</v>
      </c>
    </row>
    <row r="17" customFormat="false" ht="15" hidden="false" customHeight="false" outlineLevel="0" collapsed="false">
      <c r="B17" s="20" t="s">
        <v>176</v>
      </c>
      <c r="C17" s="40" t="n">
        <f aca="false">Assumptions!$C$25</f>
        <v>494.7</v>
      </c>
      <c r="D17" s="40" t="n">
        <f aca="false">Assumptions!$C$25</f>
        <v>494.7</v>
      </c>
      <c r="E17" s="40" t="n">
        <f aca="false">Assumptions!$C$25</f>
        <v>494.7</v>
      </c>
      <c r="F17" s="40" t="n">
        <f aca="false">Assumptions!$C$25</f>
        <v>494.7</v>
      </c>
      <c r="G17" s="40" t="n">
        <f aca="false">Assumptions!$C$25</f>
        <v>494.7</v>
      </c>
      <c r="H17" s="40" t="n">
        <f aca="false">Assumptions!$C$25</f>
        <v>494.7</v>
      </c>
      <c r="I17" s="40" t="n">
        <f aca="false">Assumptions!$C$25</f>
        <v>494.7</v>
      </c>
      <c r="J17" s="40" t="n">
        <f aca="false">Assumptions!$C$25</f>
        <v>494.7</v>
      </c>
      <c r="K17" s="40" t="n">
        <f aca="false">Assumptions!$C$25</f>
        <v>494.7</v>
      </c>
      <c r="L17" s="40" t="n">
        <f aca="false">Assumptions!$C$25</f>
        <v>494.7</v>
      </c>
    </row>
    <row r="18" customFormat="false" ht="15" hidden="false" customHeight="false" outlineLevel="0" collapsed="false">
      <c r="B18" s="20" t="s">
        <v>177</v>
      </c>
      <c r="C18" s="40" t="n">
        <f aca="false">((Assumptions!$C$22+Assumptions!$C$30+(Assumptions!$C$29/365)*'Generation &amp; Revenue'!C13)-(Assumptions!$C$24+Assumptions!$C$25))+'Income Statement'!C22+'Cash Flow Statement'!C19</f>
        <v>91.43203182432</v>
      </c>
      <c r="D18" s="40" t="n">
        <f aca="false">C18+'Income Statement'!D22+'Cash Flow Statement'!D19</f>
        <v>88.76563171895</v>
      </c>
      <c r="E18" s="40" t="n">
        <f aca="false">D18+'Income Statement'!E22+'Cash Flow Statement'!E19</f>
        <v>85.7839535603553</v>
      </c>
      <c r="F18" s="40" t="n">
        <f aca="false">E18+'Income Statement'!F22+'Cash Flow Statement'!F19</f>
        <v>82.8032587925535</v>
      </c>
      <c r="G18" s="40" t="n">
        <f aca="false">F18+'Income Statement'!G22+'Cash Flow Statement'!G19</f>
        <v>79.8235424985908</v>
      </c>
      <c r="H18" s="40" t="n">
        <f aca="false">G18+'Income Statement'!H22+'Cash Flow Statement'!H19</f>
        <v>76.8447997860978</v>
      </c>
      <c r="I18" s="40" t="n">
        <f aca="false">H18+'Income Statement'!I22+'Cash Flow Statement'!I19</f>
        <v>73.8670257871674</v>
      </c>
      <c r="J18" s="40" t="n">
        <f aca="false">I18+'Income Statement'!J22+'Cash Flow Statement'!J19</f>
        <v>70.8902156582315</v>
      </c>
      <c r="K18" s="40" t="n">
        <f aca="false">J18+'Income Statement'!K22+'Cash Flow Statement'!K19</f>
        <v>67.9143645799404</v>
      </c>
      <c r="L18" s="40" t="n">
        <f aca="false">K18+'Income Statement'!L22+'Cash Flow Statement'!L19</f>
        <v>64.9394677570407</v>
      </c>
    </row>
    <row r="19" customFormat="false" ht="15" hidden="false" customHeight="false" outlineLevel="0" collapsed="false">
      <c r="B19" s="36" t="s">
        <v>178</v>
      </c>
      <c r="C19" s="39" t="n">
        <f aca="false">C17+C18</f>
        <v>586.13203182432</v>
      </c>
      <c r="D19" s="39" t="n">
        <f aca="false">D17+D18</f>
        <v>583.46563171895</v>
      </c>
      <c r="E19" s="39" t="n">
        <f aca="false">E17+E18</f>
        <v>580.483953560355</v>
      </c>
      <c r="F19" s="39" t="n">
        <f aca="false">F17+F18</f>
        <v>577.503258792554</v>
      </c>
      <c r="G19" s="39" t="n">
        <f aca="false">G17+G18</f>
        <v>574.523542498591</v>
      </c>
      <c r="H19" s="39" t="n">
        <f aca="false">H17+H18</f>
        <v>571.544799786098</v>
      </c>
      <c r="I19" s="39" t="n">
        <f aca="false">I17+I18</f>
        <v>568.567025787167</v>
      </c>
      <c r="J19" s="39" t="n">
        <f aca="false">J17+J18</f>
        <v>565.590215658232</v>
      </c>
      <c r="K19" s="39" t="n">
        <f aca="false">K17+K18</f>
        <v>562.614364579941</v>
      </c>
      <c r="L19" s="39" t="n">
        <f aca="false">L17+L18</f>
        <v>559.639467757041</v>
      </c>
    </row>
    <row r="20" customFormat="false" ht="15" hidden="false" customHeight="false" outlineLevel="0" collapsed="false">
      <c r="B20" s="36" t="s">
        <v>179</v>
      </c>
      <c r="C20" s="41" t="n">
        <f aca="false">C16+C19</f>
        <v>1959.16703182432</v>
      </c>
      <c r="D20" s="41" t="n">
        <f aca="false">D16+D19</f>
        <v>1884.23563171895</v>
      </c>
      <c r="E20" s="41" t="n">
        <f aca="false">E16+E19</f>
        <v>1808.98895356036</v>
      </c>
      <c r="F20" s="41" t="n">
        <f aca="false">F16+F19</f>
        <v>1733.74325879255</v>
      </c>
      <c r="G20" s="41" t="n">
        <f aca="false">G16+G19</f>
        <v>1658.49854249859</v>
      </c>
      <c r="H20" s="41" t="n">
        <f aca="false">H16+H19</f>
        <v>1583.2547997861</v>
      </c>
      <c r="I20" s="41" t="n">
        <f aca="false">I16+I19</f>
        <v>1508.01202578717</v>
      </c>
      <c r="J20" s="41" t="n">
        <f aca="false">J16+J19</f>
        <v>1432.77021565823</v>
      </c>
      <c r="K20" s="41" t="n">
        <f aca="false">K16+K19</f>
        <v>1357.52936457994</v>
      </c>
      <c r="L20" s="41" t="n">
        <f aca="false">L16+L19</f>
        <v>1282.28946775704</v>
      </c>
    </row>
    <row r="22" customFormat="false" ht="15" hidden="false" customHeight="false" outlineLevel="0" collapsed="false">
      <c r="B22" s="36" t="s">
        <v>180</v>
      </c>
      <c r="C22" s="48" t="n">
        <f aca="false">C13-C20</f>
        <v>0</v>
      </c>
      <c r="D22" s="48" t="n">
        <f aca="false">D13-D20</f>
        <v>0</v>
      </c>
      <c r="E22" s="48" t="n">
        <f aca="false">E13-E20</f>
        <v>0</v>
      </c>
      <c r="F22" s="48" t="n">
        <f aca="false">F13-F20</f>
        <v>0</v>
      </c>
      <c r="G22" s="48" t="n">
        <f aca="false">G13-G20</f>
        <v>0</v>
      </c>
      <c r="H22" s="48" t="n">
        <f aca="false">H13-H20</f>
        <v>0</v>
      </c>
      <c r="I22" s="48" t="n">
        <f aca="false">I13-I20</f>
        <v>0</v>
      </c>
      <c r="J22" s="48" t="n">
        <f aca="false">J13-J20</f>
        <v>0</v>
      </c>
      <c r="K22" s="48" t="n">
        <f aca="false">K13-K20</f>
        <v>0</v>
      </c>
      <c r="L22" s="48" t="n">
        <f aca="false">L13-L20</f>
        <v>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L2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42"/>
    <col collapsed="false" customWidth="true" hidden="false" outlineLevel="0" max="12" min="3" style="0" width="14"/>
  </cols>
  <sheetData>
    <row r="2" customFormat="false" ht="17.35" hidden="false" customHeight="false" outlineLevel="0" collapsed="false">
      <c r="B2" s="16" t="s">
        <v>43</v>
      </c>
    </row>
    <row r="3" customFormat="false" ht="15" hidden="false" customHeight="false" outlineLevel="0" collapsed="false">
      <c r="B3" s="17" t="s">
        <v>181</v>
      </c>
    </row>
    <row r="4" customFormat="false" ht="15" hidden="false" customHeight="false" outlineLevel="0" collapsed="false">
      <c r="B4" s="5" t="s">
        <v>182</v>
      </c>
    </row>
    <row r="6" customFormat="false" ht="15" hidden="false" customHeight="false" outlineLevel="0" collapsed="false">
      <c r="B6" s="18" t="s">
        <v>183</v>
      </c>
      <c r="C6" s="19"/>
      <c r="D6" s="19"/>
      <c r="E6" s="19"/>
      <c r="F6" s="19"/>
      <c r="G6" s="19"/>
      <c r="H6" s="19"/>
      <c r="I6" s="19"/>
      <c r="J6" s="19"/>
      <c r="K6" s="19"/>
      <c r="L6" s="19"/>
    </row>
    <row r="7" customFormat="false" ht="15" hidden="false" customHeight="false" outlineLevel="0" collapsed="false">
      <c r="B7" s="20" t="s">
        <v>184</v>
      </c>
      <c r="C7" s="27" t="n">
        <v>0.0685</v>
      </c>
      <c r="E7" s="5" t="s">
        <v>185</v>
      </c>
    </row>
    <row r="8" customFormat="false" ht="15" hidden="false" customHeight="false" outlineLevel="0" collapsed="false">
      <c r="B8" s="20" t="s">
        <v>186</v>
      </c>
      <c r="C8" s="49" t="n">
        <v>0.85</v>
      </c>
      <c r="E8" s="5" t="s">
        <v>187</v>
      </c>
    </row>
    <row r="9" customFormat="false" ht="15" hidden="false" customHeight="false" outlineLevel="0" collapsed="false">
      <c r="B9" s="20" t="s">
        <v>188</v>
      </c>
      <c r="C9" s="27" t="n">
        <v>0.075</v>
      </c>
      <c r="E9" s="5" t="s">
        <v>189</v>
      </c>
    </row>
    <row r="10" customFormat="false" ht="15" hidden="false" customHeight="false" outlineLevel="0" collapsed="false">
      <c r="B10" s="20" t="s">
        <v>190</v>
      </c>
      <c r="C10" s="27" t="n">
        <v>0.01</v>
      </c>
    </row>
    <row r="11" customFormat="false" ht="15" hidden="false" customHeight="false" outlineLevel="0" collapsed="false">
      <c r="B11" s="36" t="s">
        <v>191</v>
      </c>
      <c r="C11" s="50" t="n">
        <f aca="false">C7+C8*C9+C10</f>
        <v>0.14225</v>
      </c>
    </row>
    <row r="13" customFormat="false" ht="15" hidden="false" customHeight="false" outlineLevel="0" collapsed="false">
      <c r="B13" s="18" t="s">
        <v>192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</row>
    <row r="14" customFormat="false" ht="15" hidden="false" customHeight="false" outlineLevel="0" collapsed="false">
      <c r="B14" s="20" t="s">
        <v>193</v>
      </c>
      <c r="C14" s="51" t="n">
        <f aca="false">Assumptions!$C$26</f>
        <v>0.09</v>
      </c>
    </row>
    <row r="15" customFormat="false" ht="15" hidden="false" customHeight="false" outlineLevel="0" collapsed="false">
      <c r="B15" s="20" t="s">
        <v>194</v>
      </c>
      <c r="C15" s="51" t="n">
        <f aca="false">Assumptions!$C$32</f>
        <v>0.2517</v>
      </c>
    </row>
    <row r="16" customFormat="false" ht="15" hidden="false" customHeight="false" outlineLevel="0" collapsed="false">
      <c r="B16" s="36" t="s">
        <v>195</v>
      </c>
      <c r="C16" s="50" t="n">
        <f aca="false">C14*(1-C15)</f>
        <v>0.067347</v>
      </c>
    </row>
    <row r="18" customFormat="false" ht="15" hidden="false" customHeight="false" outlineLevel="0" collapsed="false">
      <c r="B18" s="18" t="s">
        <v>196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</row>
    <row r="19" customFormat="false" ht="15" hidden="false" customHeight="false" outlineLevel="0" collapsed="false">
      <c r="B19" s="20" t="s">
        <v>197</v>
      </c>
      <c r="C19" s="26" t="n">
        <v>0.35</v>
      </c>
    </row>
    <row r="20" customFormat="false" ht="15" hidden="false" customHeight="false" outlineLevel="0" collapsed="false">
      <c r="B20" s="20" t="s">
        <v>198</v>
      </c>
      <c r="C20" s="26" t="n">
        <v>0.65</v>
      </c>
    </row>
    <row r="22" customFormat="false" ht="15" hidden="false" customHeight="false" outlineLevel="0" collapsed="false">
      <c r="B22" s="36" t="s">
        <v>199</v>
      </c>
      <c r="C22" s="52" t="n">
        <f aca="false">C19*C11+C20*C16</f>
        <v>0.09356305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AB4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40"/>
    <col collapsed="false" customWidth="true" hidden="false" outlineLevel="0" max="32" min="3" style="0" width="9.51"/>
  </cols>
  <sheetData>
    <row r="2" customFormat="false" ht="17.35" hidden="false" customHeight="false" outlineLevel="0" collapsed="false">
      <c r="B2" s="16" t="s">
        <v>43</v>
      </c>
    </row>
    <row r="3" customFormat="false" ht="15" hidden="false" customHeight="false" outlineLevel="0" collapsed="false">
      <c r="B3" s="17" t="s">
        <v>200</v>
      </c>
    </row>
    <row r="4" customFormat="false" ht="15" hidden="false" customHeight="false" outlineLevel="0" collapsed="false">
      <c r="B4" s="5" t="s">
        <v>201</v>
      </c>
    </row>
    <row r="6" customFormat="false" ht="15" hidden="false" customHeight="false" outlineLevel="0" collapsed="false">
      <c r="B6" s="36" t="s">
        <v>202</v>
      </c>
      <c r="C6" s="32" t="n">
        <v>0</v>
      </c>
      <c r="D6" s="32" t="n">
        <v>1</v>
      </c>
      <c r="E6" s="32" t="n">
        <v>2</v>
      </c>
      <c r="F6" s="32" t="n">
        <v>3</v>
      </c>
      <c r="G6" s="32" t="n">
        <v>4</v>
      </c>
      <c r="H6" s="32" t="n">
        <v>5</v>
      </c>
      <c r="I6" s="32" t="n">
        <v>6</v>
      </c>
      <c r="J6" s="32" t="n">
        <v>7</v>
      </c>
      <c r="K6" s="32" t="n">
        <v>8</v>
      </c>
      <c r="L6" s="32" t="n">
        <v>9</v>
      </c>
      <c r="M6" s="32" t="n">
        <v>10</v>
      </c>
      <c r="N6" s="32" t="n">
        <v>11</v>
      </c>
      <c r="O6" s="32" t="n">
        <v>12</v>
      </c>
      <c r="P6" s="32" t="n">
        <v>13</v>
      </c>
      <c r="Q6" s="32" t="n">
        <v>14</v>
      </c>
      <c r="R6" s="32" t="n">
        <v>15</v>
      </c>
      <c r="S6" s="32" t="n">
        <v>16</v>
      </c>
      <c r="T6" s="32" t="n">
        <v>17</v>
      </c>
      <c r="U6" s="32" t="n">
        <v>18</v>
      </c>
      <c r="V6" s="32" t="n">
        <v>19</v>
      </c>
      <c r="W6" s="32" t="n">
        <v>20</v>
      </c>
      <c r="X6" s="32" t="n">
        <v>21</v>
      </c>
      <c r="Y6" s="32" t="n">
        <v>22</v>
      </c>
      <c r="Z6" s="32" t="n">
        <v>23</v>
      </c>
      <c r="AA6" s="32" t="n">
        <v>24</v>
      </c>
      <c r="AB6" s="32" t="n">
        <v>25</v>
      </c>
    </row>
    <row r="7" customFormat="false" ht="15" hidden="false" customHeight="false" outlineLevel="0" collapsed="false">
      <c r="B7" s="47" t="s">
        <v>203</v>
      </c>
      <c r="C7" s="53" t="s">
        <v>204</v>
      </c>
      <c r="D7" s="53" t="s">
        <v>205</v>
      </c>
      <c r="E7" s="53" t="s">
        <v>206</v>
      </c>
      <c r="F7" s="53" t="s">
        <v>207</v>
      </c>
      <c r="G7" s="53" t="s">
        <v>208</v>
      </c>
      <c r="H7" s="53" t="s">
        <v>209</v>
      </c>
      <c r="I7" s="53" t="s">
        <v>210</v>
      </c>
      <c r="J7" s="53" t="s">
        <v>211</v>
      </c>
      <c r="K7" s="53" t="s">
        <v>212</v>
      </c>
      <c r="L7" s="53" t="s">
        <v>213</v>
      </c>
      <c r="M7" s="53" t="s">
        <v>214</v>
      </c>
      <c r="N7" s="53" t="s">
        <v>215</v>
      </c>
      <c r="O7" s="53" t="s">
        <v>216</v>
      </c>
      <c r="P7" s="53" t="s">
        <v>217</v>
      </c>
      <c r="Q7" s="53" t="s">
        <v>218</v>
      </c>
      <c r="R7" s="53" t="s">
        <v>219</v>
      </c>
      <c r="S7" s="53" t="s">
        <v>220</v>
      </c>
      <c r="T7" s="53" t="s">
        <v>221</v>
      </c>
      <c r="U7" s="53" t="s">
        <v>222</v>
      </c>
      <c r="V7" s="53" t="s">
        <v>223</v>
      </c>
      <c r="W7" s="53" t="s">
        <v>224</v>
      </c>
      <c r="X7" s="53" t="s">
        <v>225</v>
      </c>
      <c r="Y7" s="53" t="s">
        <v>226</v>
      </c>
      <c r="Z7" s="53" t="s">
        <v>227</v>
      </c>
      <c r="AA7" s="53" t="s">
        <v>228</v>
      </c>
      <c r="AB7" s="53" t="s">
        <v>229</v>
      </c>
    </row>
    <row r="8" customFormat="false" ht="15" hidden="false" customHeight="false" outlineLevel="0" collapsed="false">
      <c r="B8" s="20" t="s">
        <v>110</v>
      </c>
      <c r="C8" s="34"/>
      <c r="D8" s="34" t="n">
        <f aca="false">Assumptions!$C$9</f>
        <v>0.227168</v>
      </c>
      <c r="E8" s="34" t="n">
        <f aca="false">Assumptions!$C$8*(1-Assumptions!$C$10)^1</f>
        <v>0.227855</v>
      </c>
      <c r="F8" s="34" t="n">
        <f aca="false">Assumptions!$C$8*(1-Assumptions!$C$10)^2</f>
        <v>0.226715725</v>
      </c>
      <c r="G8" s="34" t="n">
        <f aca="false">Assumptions!$C$8*(1-Assumptions!$C$10)^3</f>
        <v>0.225582146375</v>
      </c>
      <c r="H8" s="34" t="n">
        <f aca="false">Assumptions!$C$8*(1-Assumptions!$C$10)^4</f>
        <v>0.224454235643125</v>
      </c>
      <c r="I8" s="34" t="n">
        <f aca="false">Assumptions!$C$8*(1-Assumptions!$C$10)^5</f>
        <v>0.223331964464909</v>
      </c>
      <c r="J8" s="34" t="n">
        <f aca="false">Assumptions!$C$8*(1-Assumptions!$C$10)^6</f>
        <v>0.222215304642585</v>
      </c>
      <c r="K8" s="34" t="n">
        <f aca="false">Assumptions!$C$8*(1-Assumptions!$C$10)^7</f>
        <v>0.221104228119372</v>
      </c>
      <c r="L8" s="34" t="n">
        <f aca="false">Assumptions!$C$8*(1-Assumptions!$C$10)^8</f>
        <v>0.219998706978775</v>
      </c>
      <c r="M8" s="34" t="n">
        <f aca="false">Assumptions!$C$8*(1-Assumptions!$C$10)^9</f>
        <v>0.218898713443881</v>
      </c>
      <c r="N8" s="34" t="n">
        <f aca="false">Assumptions!$C$8*(1-Assumptions!$C$10)^10</f>
        <v>0.217804219876662</v>
      </c>
      <c r="O8" s="34" t="n">
        <f aca="false">Assumptions!$C$8*(1-Assumptions!$C$10)^11</f>
        <v>0.216715198777278</v>
      </c>
      <c r="P8" s="34" t="n">
        <f aca="false">Assumptions!$C$8*(1-Assumptions!$C$10)^12</f>
        <v>0.215631622783392</v>
      </c>
      <c r="Q8" s="34" t="n">
        <f aca="false">Assumptions!$C$8*(1-Assumptions!$C$10)^13</f>
        <v>0.214553464669475</v>
      </c>
      <c r="R8" s="34" t="n">
        <f aca="false">Assumptions!$C$8*(1-Assumptions!$C$10)^14</f>
        <v>0.213480697346128</v>
      </c>
      <c r="S8" s="34" t="n">
        <f aca="false">Assumptions!$C$8*(1-Assumptions!$C$10)^15</f>
        <v>0.212413293859397</v>
      </c>
      <c r="T8" s="34" t="n">
        <f aca="false">Assumptions!$C$8*(1-Assumptions!$C$10)^16</f>
        <v>0.2113512273901</v>
      </c>
      <c r="U8" s="34" t="n">
        <f aca="false">Assumptions!$C$8*(1-Assumptions!$C$10)^17</f>
        <v>0.21029447125315</v>
      </c>
      <c r="V8" s="34" t="n">
        <f aca="false">Assumptions!$C$8*(1-Assumptions!$C$10)^18</f>
        <v>0.209242998896884</v>
      </c>
      <c r="W8" s="34" t="n">
        <f aca="false">Assumptions!$C$8*(1-Assumptions!$C$10)^19</f>
        <v>0.208196783902399</v>
      </c>
      <c r="X8" s="34" t="n">
        <f aca="false">Assumptions!$C$8*(1-Assumptions!$C$10)^20</f>
        <v>0.207155799982887</v>
      </c>
      <c r="Y8" s="34" t="n">
        <f aca="false">Assumptions!$C$8*(1-Assumptions!$C$10)^21</f>
        <v>0.206120020982973</v>
      </c>
      <c r="Z8" s="34" t="n">
        <f aca="false">Assumptions!$C$8*(1-Assumptions!$C$10)^22</f>
        <v>0.205089420878058</v>
      </c>
      <c r="AA8" s="34" t="n">
        <f aca="false">Assumptions!$C$8*(1-Assumptions!$C$10)^23</f>
        <v>0.204063973773668</v>
      </c>
      <c r="AB8" s="34" t="n">
        <f aca="false">Assumptions!$C$8*(1-Assumptions!$C$10)^24</f>
        <v>0.2030436539048</v>
      </c>
    </row>
    <row r="9" customFormat="false" ht="15" hidden="false" customHeight="false" outlineLevel="0" collapsed="false">
      <c r="B9" s="20" t="s">
        <v>230</v>
      </c>
      <c r="D9" s="54" t="n">
        <f aca="false">Assumptions!$C$7*Assumptions!$C$12*D8*Assumptions!$C$11/1000</f>
        <v>1009.821278016</v>
      </c>
      <c r="E9" s="54" t="n">
        <f aca="false">Assumptions!$C$7*Assumptions!$C$12*E8*Assumptions!$C$11/1000</f>
        <v>1012.87517301</v>
      </c>
      <c r="F9" s="54" t="n">
        <f aca="false">Assumptions!$C$7*Assumptions!$C$12*F8*Assumptions!$C$11/1000</f>
        <v>1007.81079714495</v>
      </c>
      <c r="G9" s="54" t="n">
        <f aca="false">Assumptions!$C$7*Assumptions!$C$12*G8*Assumptions!$C$11/1000</f>
        <v>1002.77174315923</v>
      </c>
      <c r="H9" s="54" t="n">
        <f aca="false">Assumptions!$C$7*Assumptions!$C$12*H8*Assumptions!$C$11/1000</f>
        <v>997.757884443429</v>
      </c>
      <c r="I9" s="54" t="n">
        <f aca="false">Assumptions!$C$7*Assumptions!$C$12*I8*Assumptions!$C$11/1000</f>
        <v>992.769095021212</v>
      </c>
      <c r="J9" s="54" t="n">
        <f aca="false">Assumptions!$C$7*Assumptions!$C$12*J8*Assumptions!$C$11/1000</f>
        <v>987.805249546106</v>
      </c>
      <c r="K9" s="54" t="n">
        <f aca="false">Assumptions!$C$7*Assumptions!$C$12*K8*Assumptions!$C$11/1000</f>
        <v>982.866223298375</v>
      </c>
      <c r="L9" s="54" t="n">
        <f aca="false">Assumptions!$C$7*Assumptions!$C$12*L8*Assumptions!$C$11/1000</f>
        <v>977.951892181883</v>
      </c>
      <c r="M9" s="54" t="n">
        <f aca="false">Assumptions!$C$7*Assumptions!$C$12*M8*Assumptions!$C$11/1000</f>
        <v>973.062132720974</v>
      </c>
      <c r="N9" s="54" t="n">
        <f aca="false">Assumptions!$C$7*Assumptions!$C$12*N8*Assumptions!$C$11/1000</f>
        <v>968.196822057369</v>
      </c>
      <c r="O9" s="54" t="n">
        <f aca="false">Assumptions!$C$7*Assumptions!$C$12*O8*Assumptions!$C$11/1000</f>
        <v>963.355837947082</v>
      </c>
      <c r="P9" s="54" t="n">
        <f aca="false">Assumptions!$C$7*Assumptions!$C$12*P8*Assumptions!$C$11/1000</f>
        <v>958.539058757347</v>
      </c>
      <c r="Q9" s="54" t="n">
        <f aca="false">Assumptions!$C$7*Assumptions!$C$12*Q8*Assumptions!$C$11/1000</f>
        <v>953.74636346356</v>
      </c>
      <c r="R9" s="54" t="n">
        <f aca="false">Assumptions!$C$7*Assumptions!$C$12*R8*Assumptions!$C$11/1000</f>
        <v>948.977631646243</v>
      </c>
      <c r="S9" s="54" t="n">
        <f aca="false">Assumptions!$C$7*Assumptions!$C$12*S8*Assumptions!$C$11/1000</f>
        <v>944.232743488011</v>
      </c>
      <c r="T9" s="54" t="n">
        <f aca="false">Assumptions!$C$7*Assumptions!$C$12*T8*Assumptions!$C$11/1000</f>
        <v>939.511579770571</v>
      </c>
      <c r="U9" s="54" t="n">
        <f aca="false">Assumptions!$C$7*Assumptions!$C$12*U8*Assumptions!$C$11/1000</f>
        <v>934.814021871718</v>
      </c>
      <c r="V9" s="54" t="n">
        <f aca="false">Assumptions!$C$7*Assumptions!$C$12*V8*Assumptions!$C$11/1000</f>
        <v>930.13995176236</v>
      </c>
      <c r="W9" s="54" t="n">
        <f aca="false">Assumptions!$C$7*Assumptions!$C$12*W8*Assumptions!$C$11/1000</f>
        <v>925.489252003548</v>
      </c>
      <c r="X9" s="54" t="n">
        <f aca="false">Assumptions!$C$7*Assumptions!$C$12*X8*Assumptions!$C$11/1000</f>
        <v>920.86180574353</v>
      </c>
      <c r="Y9" s="54" t="n">
        <f aca="false">Assumptions!$C$7*Assumptions!$C$12*Y8*Assumptions!$C$11/1000</f>
        <v>916.257496714812</v>
      </c>
      <c r="Z9" s="54" t="n">
        <f aca="false">Assumptions!$C$7*Assumptions!$C$12*Z8*Assumptions!$C$11/1000</f>
        <v>911.676209231238</v>
      </c>
      <c r="AA9" s="54" t="n">
        <f aca="false">Assumptions!$C$7*Assumptions!$C$12*AA8*Assumptions!$C$11/1000</f>
        <v>907.117828185082</v>
      </c>
      <c r="AB9" s="54" t="n">
        <f aca="false">Assumptions!$C$7*Assumptions!$C$12*AB8*Assumptions!$C$11/1000</f>
        <v>902.582239044157</v>
      </c>
    </row>
    <row r="10" customFormat="false" ht="15" hidden="false" customHeight="false" outlineLevel="0" collapsed="false">
      <c r="B10" s="20" t="s">
        <v>135</v>
      </c>
      <c r="D10" s="40" t="n">
        <f aca="false">D9*Assumptions!$C$14*(1+Assumptions!$C$15)^0/10</f>
        <v>318.09370257504</v>
      </c>
      <c r="E10" s="40" t="n">
        <f aca="false">E9*Assumptions!$C$14*(1+Assumptions!$C$15)^1/10</f>
        <v>319.05567949815</v>
      </c>
      <c r="F10" s="40" t="n">
        <f aca="false">F9*Assumptions!$C$14*(1+Assumptions!$C$15)^2/10</f>
        <v>317.460401100659</v>
      </c>
      <c r="G10" s="40" t="n">
        <f aca="false">G9*Assumptions!$C$14*(1+Assumptions!$C$15)^3/10</f>
        <v>315.873099095156</v>
      </c>
      <c r="H10" s="40" t="n">
        <f aca="false">H9*Assumptions!$C$14*(1+Assumptions!$C$15)^4/10</f>
        <v>314.29373359968</v>
      </c>
      <c r="I10" s="40" t="n">
        <f aca="false">I9*Assumptions!$C$14*(1+Assumptions!$C$15)^5/10</f>
        <v>312.722264931682</v>
      </c>
      <c r="J10" s="40" t="n">
        <f aca="false">J9*Assumptions!$C$14*(1+Assumptions!$C$15)^6/10</f>
        <v>311.158653607023</v>
      </c>
      <c r="K10" s="40" t="n">
        <f aca="false">K9*Assumptions!$C$14*(1+Assumptions!$C$15)^7/10</f>
        <v>309.602860338988</v>
      </c>
      <c r="L10" s="40" t="n">
        <f aca="false">L9*Assumptions!$C$14*(1+Assumptions!$C$15)^8/10</f>
        <v>308.054846037293</v>
      </c>
      <c r="M10" s="40" t="n">
        <f aca="false">M9*Assumptions!$C$14*(1+Assumptions!$C$15)^9/10</f>
        <v>306.514571807107</v>
      </c>
      <c r="N10" s="40" t="n">
        <f aca="false">N9*Assumptions!$C$14*(1+Assumptions!$C$15)^10/10</f>
        <v>304.981998948071</v>
      </c>
      <c r="O10" s="40" t="n">
        <f aca="false">O9*Assumptions!$C$14*(1+Assumptions!$C$15)^11/10</f>
        <v>303.457088953331</v>
      </c>
      <c r="P10" s="40" t="n">
        <f aca="false">P9*Assumptions!$C$14*(1+Assumptions!$C$15)^12/10</f>
        <v>301.939803508564</v>
      </c>
      <c r="Q10" s="40" t="n">
        <f aca="false">Q9*Assumptions!$C$14*(1+Assumptions!$C$15)^13/10</f>
        <v>300.430104491021</v>
      </c>
      <c r="R10" s="40" t="n">
        <f aca="false">R9*Assumptions!$C$14*(1+Assumptions!$C$15)^14/10</f>
        <v>298.927953968566</v>
      </c>
      <c r="S10" s="40" t="n">
        <f aca="false">S9*Assumptions!$C$14*(1+Assumptions!$C$15)^15/10</f>
        <v>297.433314198724</v>
      </c>
      <c r="T10" s="40" t="n">
        <f aca="false">T9*Assumptions!$C$14*(1+Assumptions!$C$15)^16/10</f>
        <v>295.94614762773</v>
      </c>
      <c r="U10" s="40" t="n">
        <f aca="false">U9*Assumptions!$C$14*(1+Assumptions!$C$15)^17/10</f>
        <v>294.466416889591</v>
      </c>
      <c r="V10" s="40" t="n">
        <f aca="false">V9*Assumptions!$C$14*(1+Assumptions!$C$15)^18/10</f>
        <v>292.994084805143</v>
      </c>
      <c r="W10" s="40" t="n">
        <f aca="false">W9*Assumptions!$C$14*(1+Assumptions!$C$15)^19/10</f>
        <v>291.529114381118</v>
      </c>
      <c r="X10" s="40" t="n">
        <f aca="false">X9*Assumptions!$C$14*(1+Assumptions!$C$15)^20/10</f>
        <v>290.071468809212</v>
      </c>
      <c r="Y10" s="40" t="n">
        <f aca="false">Y9*Assumptions!$C$14*(1+Assumptions!$C$15)^21/10</f>
        <v>288.621111465166</v>
      </c>
      <c r="Z10" s="40" t="n">
        <f aca="false">Z9*Assumptions!$C$14*(1+Assumptions!$C$15)^22/10</f>
        <v>287.17800590784</v>
      </c>
      <c r="AA10" s="40" t="n">
        <f aca="false">AA9*Assumptions!$C$14*(1+Assumptions!$C$15)^23/10</f>
        <v>285.742115878301</v>
      </c>
      <c r="AB10" s="40" t="n">
        <f aca="false">AB9*Assumptions!$C$14*(1+Assumptions!$C$15)^24/10</f>
        <v>284.313405298909</v>
      </c>
    </row>
    <row r="11" customFormat="false" ht="15" hidden="false" customHeight="false" outlineLevel="0" collapsed="false">
      <c r="B11" s="20" t="s">
        <v>231</v>
      </c>
      <c r="D11" s="40" t="n">
        <f aca="false">-(Assumptions!$C$7*Assumptions!$C$17*(1+Assumptions!$C$18)^0+Assumptions!$C$22*Assumptions!$C$19*0.99^0+Assumptions!$C$20*(1+Assumptions!$C$18)^0)</f>
        <v>-37.488</v>
      </c>
      <c r="E11" s="40" t="n">
        <f aca="false">-(Assumptions!$C$7*Assumptions!$C$17*(1+Assumptions!$C$18)^1+Assumptions!$C$22*Assumptions!$C$19*0.99^1+Assumptions!$C$20*(1+Assumptions!$C$18)^1)</f>
        <v>-38.28672</v>
      </c>
      <c r="F11" s="40" t="n">
        <f aca="false">-(Assumptions!$C$7*Assumptions!$C$17*(1+Assumptions!$C$18)^2+Assumptions!$C$22*Assumptions!$C$19*0.99^2+Assumptions!$C$20*(1+Assumptions!$C$18)^2)</f>
        <v>-39.1126608</v>
      </c>
      <c r="G11" s="40" t="n">
        <f aca="false">-(Assumptions!$C$7*Assumptions!$C$17*(1+Assumptions!$C$18)^3+Assumptions!$C$22*Assumptions!$C$19*0.99^3+Assumptions!$C$20*(1+Assumptions!$C$18)^3)</f>
        <v>-39.966606432</v>
      </c>
      <c r="H11" s="40" t="n">
        <f aca="false">-(Assumptions!$C$7*Assumptions!$C$17*(1+Assumptions!$C$18)^4+Assumptions!$C$22*Assumptions!$C$19*0.99^4+Assumptions!$C$20*(1+Assumptions!$C$18)^4)</f>
        <v>-40.84936477488</v>
      </c>
      <c r="I11" s="40" t="n">
        <f aca="false">-(Assumptions!$C$7*Assumptions!$C$17*(1+Assumptions!$C$18)^5+Assumptions!$C$22*Assumptions!$C$19*0.99^5+Assumptions!$C$20*(1+Assumptions!$C$18)^5)</f>
        <v>-41.7617682665472</v>
      </c>
      <c r="J11" s="40" t="n">
        <f aca="false">-(Assumptions!$C$7*Assumptions!$C$17*(1+Assumptions!$C$18)^6+Assumptions!$C$22*Assumptions!$C$19*0.99^6+Assumptions!$C$20*(1+Assumptions!$C$18)^6)</f>
        <v>-42.7046746374802</v>
      </c>
      <c r="K11" s="40" t="n">
        <f aca="false">-(Assumptions!$C$7*Assumptions!$C$17*(1+Assumptions!$C$18)^7+Assumptions!$C$22*Assumptions!$C$19*0.99^7+Assumptions!$C$20*(1+Assumptions!$C$18)^7)</f>
        <v>-43.6789676663119</v>
      </c>
      <c r="L11" s="40" t="n">
        <f aca="false">-(Assumptions!$C$7*Assumptions!$C$17*(1+Assumptions!$C$18)^8+Assumptions!$C$22*Assumptions!$C$19*0.99^8+Assumptions!$C$20*(1+Assumptions!$C$18)^8)</f>
        <v>-44.6855579581114</v>
      </c>
      <c r="M11" s="40" t="n">
        <f aca="false">-(Assumptions!$C$7*Assumptions!$C$17*(1+Assumptions!$C$18)^9+Assumptions!$C$22*Assumptions!$C$19*0.99^9+Assumptions!$C$20*(1+Assumptions!$C$18)^9)</f>
        <v>-45.7253837460468</v>
      </c>
      <c r="N11" s="40" t="n">
        <f aca="false">-(Assumptions!$C$7*Assumptions!$C$17*(1+Assumptions!$C$18)^10+Assumptions!$C$22*Assumptions!$C$19*0.99^10+Assumptions!$C$20*(1+Assumptions!$C$18)^10)</f>
        <v>-46.7994117171283</v>
      </c>
      <c r="O11" s="40" t="n">
        <f aca="false">-(Assumptions!$C$7*Assumptions!$C$17*(1+Assumptions!$C$18)^11+Assumptions!$C$22*Assumptions!$C$19*0.99^11+Assumptions!$C$20*(1+Assumptions!$C$18)^11)</f>
        <v>-47.9086378627553</v>
      </c>
      <c r="P11" s="40" t="n">
        <f aca="false">-(Assumptions!$C$7*Assumptions!$C$17*(1+Assumptions!$C$18)^12+Assumptions!$C$22*Assumptions!$C$19*0.99^12+Assumptions!$C$20*(1+Assumptions!$C$18)^12)</f>
        <v>-49.0540883548099</v>
      </c>
      <c r="Q11" s="40" t="n">
        <f aca="false">-(Assumptions!$C$7*Assumptions!$C$17*(1+Assumptions!$C$18)^13+Assumptions!$C$22*Assumptions!$C$19*0.99^13+Assumptions!$C$20*(1+Assumptions!$C$18)^13)</f>
        <v>-50.2368204480645</v>
      </c>
      <c r="R11" s="40" t="n">
        <f aca="false">-(Assumptions!$C$7*Assumptions!$C$17*(1+Assumptions!$C$18)^14+Assumptions!$C$22*Assumptions!$C$19*0.99^14+Assumptions!$C$20*(1+Assumptions!$C$18)^14)</f>
        <v>-51.4579234096906</v>
      </c>
      <c r="S11" s="40" t="n">
        <f aca="false">-(Assumptions!$C$7*Assumptions!$C$17*(1+Assumptions!$C$18)^15+Assumptions!$C$22*Assumptions!$C$19*0.99^15+Assumptions!$C$20*(1+Assumptions!$C$18)^15)</f>
        <v>-52.7185194766837</v>
      </c>
      <c r="T11" s="40" t="n">
        <f aca="false">-(Assumptions!$C$7*Assumptions!$C$17*(1+Assumptions!$C$18)^16+Assumptions!$C$22*Assumptions!$C$19*0.99^16+Assumptions!$C$20*(1+Assumptions!$C$18)^16)</f>
        <v>-54.0197648420395</v>
      </c>
      <c r="U11" s="40" t="n">
        <f aca="false">-(Assumptions!$C$7*Assumptions!$C$17*(1+Assumptions!$C$18)^17+Assumptions!$C$22*Assumptions!$C$19*0.99^17+Assumptions!$C$20*(1+Assumptions!$C$18)^17)</f>
        <v>-55.3628506705454</v>
      </c>
      <c r="V11" s="40" t="n">
        <f aca="false">-(Assumptions!$C$7*Assumptions!$C$17*(1+Assumptions!$C$18)^18+Assumptions!$C$22*Assumptions!$C$19*0.99^18+Assumptions!$C$20*(1+Assumptions!$C$18)^18)</f>
        <v>-56.7490041450741</v>
      </c>
      <c r="W11" s="40" t="n">
        <f aca="false">-(Assumptions!$C$7*Assumptions!$C$17*(1+Assumptions!$C$18)^19+Assumptions!$C$22*Assumptions!$C$19*0.99^19+Assumptions!$C$20*(1+Assumptions!$C$18)^19)</f>
        <v>-58.1794895442945</v>
      </c>
      <c r="X11" s="40" t="n">
        <f aca="false">-(Assumptions!$C$7*Assumptions!$C$17*(1+Assumptions!$C$18)^20+Assumptions!$C$22*Assumptions!$C$19*0.99^20+Assumptions!$C$20*(1+Assumptions!$C$18)^20)</f>
        <v>-59.6556093527429</v>
      </c>
      <c r="Y11" s="40" t="n">
        <f aca="false">-(Assumptions!$C$7*Assumptions!$C$17*(1+Assumptions!$C$18)^21+Assumptions!$C$22*Assumptions!$C$19*0.99^21+Assumptions!$C$20*(1+Assumptions!$C$18)^21)</f>
        <v>-61.1787054042235</v>
      </c>
      <c r="Z11" s="40" t="n">
        <f aca="false">-(Assumptions!$C$7*Assumptions!$C$17*(1+Assumptions!$C$18)^22+Assumptions!$C$22*Assumptions!$C$19*0.99^22+Assumptions!$C$20*(1+Assumptions!$C$18)^22)</f>
        <v>-62.7501600595395</v>
      </c>
      <c r="AA11" s="40" t="n">
        <f aca="false">-(Assumptions!$C$7*Assumptions!$C$17*(1+Assumptions!$C$18)^23+Assumptions!$C$22*Assumptions!$C$19*0.99^23+Assumptions!$C$20*(1+Assumptions!$C$18)^23)</f>
        <v>-64.3713974195831</v>
      </c>
      <c r="AB11" s="40" t="n">
        <f aca="false">-(Assumptions!$C$7*Assumptions!$C$17*(1+Assumptions!$C$18)^24+Assumptions!$C$22*Assumptions!$C$19*0.99^24+Assumptions!$C$20*(1+Assumptions!$C$18)^24)</f>
        <v>-66.0438845748455</v>
      </c>
    </row>
    <row r="12" customFormat="false" ht="15" hidden="false" customHeight="false" outlineLevel="0" collapsed="false">
      <c r="B12" s="36" t="s">
        <v>137</v>
      </c>
      <c r="D12" s="42" t="n">
        <f aca="false">D10+D11</f>
        <v>280.60570257504</v>
      </c>
      <c r="E12" s="42" t="n">
        <f aca="false">E10+E11</f>
        <v>280.76895949815</v>
      </c>
      <c r="F12" s="42" t="n">
        <f aca="false">F10+F11</f>
        <v>278.347740300659</v>
      </c>
      <c r="G12" s="42" t="n">
        <f aca="false">G10+G11</f>
        <v>275.906492663156</v>
      </c>
      <c r="H12" s="42" t="n">
        <f aca="false">H10+H11</f>
        <v>273.4443688248</v>
      </c>
      <c r="I12" s="42" t="n">
        <f aca="false">I10+I11</f>
        <v>270.960496665135</v>
      </c>
      <c r="J12" s="42" t="n">
        <f aca="false">J10+J11</f>
        <v>268.453978969543</v>
      </c>
      <c r="K12" s="42" t="n">
        <f aca="false">K10+K11</f>
        <v>265.923892672676</v>
      </c>
      <c r="L12" s="42" t="n">
        <f aca="false">L10+L11</f>
        <v>263.369288079182</v>
      </c>
      <c r="M12" s="42" t="n">
        <f aca="false">M10+M11</f>
        <v>260.78918806106</v>
      </c>
      <c r="N12" s="42" t="n">
        <f aca="false">N10+N11</f>
        <v>258.182587230943</v>
      </c>
      <c r="O12" s="42" t="n">
        <f aca="false">O10+O11</f>
        <v>255.548451090576</v>
      </c>
      <c r="P12" s="42" t="n">
        <f aca="false">P10+P11</f>
        <v>252.885715153754</v>
      </c>
      <c r="Q12" s="42" t="n">
        <f aca="false">Q10+Q11</f>
        <v>250.193284042957</v>
      </c>
      <c r="R12" s="42" t="n">
        <f aca="false">R10+R11</f>
        <v>247.470030558876</v>
      </c>
      <c r="S12" s="42" t="n">
        <f aca="false">S10+S11</f>
        <v>244.71479472204</v>
      </c>
      <c r="T12" s="42" t="n">
        <f aca="false">T10+T11</f>
        <v>241.92638278569</v>
      </c>
      <c r="U12" s="42" t="n">
        <f aca="false">U10+U11</f>
        <v>239.103566219046</v>
      </c>
      <c r="V12" s="42" t="n">
        <f aca="false">V10+V11</f>
        <v>236.245080660069</v>
      </c>
      <c r="W12" s="42" t="n">
        <f aca="false">W10+W11</f>
        <v>233.349624836823</v>
      </c>
      <c r="X12" s="42" t="n">
        <f aca="false">X10+X11</f>
        <v>230.415859456469</v>
      </c>
      <c r="Y12" s="42" t="n">
        <f aca="false">Y10+Y11</f>
        <v>227.442406060942</v>
      </c>
      <c r="Z12" s="42" t="n">
        <f aca="false">Z10+Z11</f>
        <v>224.427845848301</v>
      </c>
      <c r="AA12" s="42" t="n">
        <f aca="false">AA10+AA11</f>
        <v>221.370718458718</v>
      </c>
      <c r="AB12" s="42" t="n">
        <f aca="false">AB10+AB11</f>
        <v>218.269520724064</v>
      </c>
    </row>
    <row r="13" customFormat="false" ht="15" hidden="false" customHeight="false" outlineLevel="0" collapsed="false">
      <c r="B13" s="47" t="s">
        <v>232</v>
      </c>
      <c r="D13" s="55" t="n">
        <f aca="false">(Assumptions!$C$22*(1-Assumptions!$C$34)^0)*Assumptions!$C$34</f>
        <v>776</v>
      </c>
      <c r="E13" s="55" t="n">
        <f aca="false">(Assumptions!$C$22*(1-Assumptions!$C$34)^1)*Assumptions!$C$34</f>
        <v>465.6</v>
      </c>
      <c r="F13" s="55" t="n">
        <f aca="false">(Assumptions!$C$22*(1-Assumptions!$C$34)^2)*Assumptions!$C$34</f>
        <v>279.36</v>
      </c>
      <c r="G13" s="55" t="n">
        <f aca="false">(Assumptions!$C$22*(1-Assumptions!$C$34)^3)*Assumptions!$C$34</f>
        <v>167.616</v>
      </c>
      <c r="H13" s="55" t="n">
        <f aca="false">(Assumptions!$C$22*(1-Assumptions!$C$34)^4)*Assumptions!$C$34</f>
        <v>100.5696</v>
      </c>
      <c r="I13" s="55" t="n">
        <f aca="false">(Assumptions!$C$22*(1-Assumptions!$C$34)^5)*Assumptions!$C$34</f>
        <v>60.34176</v>
      </c>
      <c r="J13" s="55" t="n">
        <f aca="false">(Assumptions!$C$22*(1-Assumptions!$C$34)^6)*Assumptions!$C$34</f>
        <v>36.205056</v>
      </c>
      <c r="K13" s="55" t="n">
        <f aca="false">(Assumptions!$C$22*(1-Assumptions!$C$34)^7)*Assumptions!$C$34</f>
        <v>21.7230336</v>
      </c>
      <c r="L13" s="55" t="n">
        <f aca="false">(Assumptions!$C$22*(1-Assumptions!$C$34)^8)*Assumptions!$C$34</f>
        <v>13.03382016</v>
      </c>
      <c r="M13" s="55" t="n">
        <f aca="false">(Assumptions!$C$22*(1-Assumptions!$C$34)^9)*Assumptions!$C$34</f>
        <v>7.820292096</v>
      </c>
      <c r="N13" s="55" t="n">
        <f aca="false">(Assumptions!$C$22*(1-Assumptions!$C$34)^10)*Assumptions!$C$34</f>
        <v>4.6921752576</v>
      </c>
      <c r="O13" s="55" t="n">
        <f aca="false">(Assumptions!$C$22*(1-Assumptions!$C$34)^11)*Assumptions!$C$34</f>
        <v>2.81530515456</v>
      </c>
      <c r="P13" s="55" t="n">
        <f aca="false">(Assumptions!$C$22*(1-Assumptions!$C$34)^12)*Assumptions!$C$34</f>
        <v>1.689183092736</v>
      </c>
      <c r="Q13" s="55" t="n">
        <f aca="false">(Assumptions!$C$22*(1-Assumptions!$C$34)^13)*Assumptions!$C$34</f>
        <v>1.0135098556416</v>
      </c>
      <c r="R13" s="55" t="n">
        <f aca="false">(Assumptions!$C$22*(1-Assumptions!$C$34)^14)*Assumptions!$C$34</f>
        <v>0.60810591338496</v>
      </c>
      <c r="S13" s="55" t="n">
        <f aca="false">(Assumptions!$C$22*(1-Assumptions!$C$34)^15)*Assumptions!$C$34</f>
        <v>0.364863548030976</v>
      </c>
      <c r="T13" s="55" t="n">
        <f aca="false">(Assumptions!$C$22*(1-Assumptions!$C$34)^16)*Assumptions!$C$34</f>
        <v>0.218918128818586</v>
      </c>
      <c r="U13" s="55" t="n">
        <f aca="false">(Assumptions!$C$22*(1-Assumptions!$C$34)^17)*Assumptions!$C$34</f>
        <v>0.131350877291151</v>
      </c>
      <c r="V13" s="55" t="n">
        <f aca="false">(Assumptions!$C$22*(1-Assumptions!$C$34)^18)*Assumptions!$C$34</f>
        <v>0.0788105263746908</v>
      </c>
      <c r="W13" s="55" t="n">
        <f aca="false">(Assumptions!$C$22*(1-Assumptions!$C$34)^19)*Assumptions!$C$34</f>
        <v>0.0472863158248145</v>
      </c>
      <c r="X13" s="55" t="n">
        <f aca="false">(Assumptions!$C$22*(1-Assumptions!$C$34)^20)*Assumptions!$C$34</f>
        <v>0.0283717894948887</v>
      </c>
      <c r="Y13" s="55" t="n">
        <f aca="false">(Assumptions!$C$22*(1-Assumptions!$C$34)^21)*Assumptions!$C$34</f>
        <v>0.0170230736969332</v>
      </c>
      <c r="Z13" s="55" t="n">
        <f aca="false">(Assumptions!$C$22*(1-Assumptions!$C$34)^22)*Assumptions!$C$34</f>
        <v>0.0102138442181599</v>
      </c>
      <c r="AA13" s="55" t="n">
        <f aca="false">(Assumptions!$C$22*(1-Assumptions!$C$34)^23)*Assumptions!$C$34</f>
        <v>0.00612830653089595</v>
      </c>
      <c r="AB13" s="55" t="n">
        <f aca="false">(Assumptions!$C$22*(1-Assumptions!$C$34)^24)*Assumptions!$C$34</f>
        <v>0.00367698391853757</v>
      </c>
    </row>
    <row r="14" customFormat="false" ht="15" hidden="false" customHeight="false" outlineLevel="0" collapsed="false">
      <c r="B14" s="47" t="s">
        <v>233</v>
      </c>
      <c r="D14" s="55" t="n">
        <f aca="false">Assumptions!$C$24</f>
        <v>1445.3</v>
      </c>
      <c r="E14" s="55" t="n">
        <f aca="false">D17</f>
        <v>1373.035</v>
      </c>
      <c r="F14" s="55" t="n">
        <f aca="false">E17</f>
        <v>1300.77</v>
      </c>
      <c r="G14" s="55" t="n">
        <f aca="false">F17</f>
        <v>1228.505</v>
      </c>
      <c r="H14" s="55" t="n">
        <f aca="false">G17</f>
        <v>1156.24</v>
      </c>
      <c r="I14" s="55" t="n">
        <f aca="false">H17</f>
        <v>1083.975</v>
      </c>
      <c r="J14" s="55" t="n">
        <f aca="false">I17</f>
        <v>1011.71</v>
      </c>
      <c r="K14" s="55" t="n">
        <f aca="false">J17</f>
        <v>939.445</v>
      </c>
      <c r="L14" s="55" t="n">
        <f aca="false">K17</f>
        <v>867.18</v>
      </c>
      <c r="M14" s="55" t="n">
        <f aca="false">L17</f>
        <v>794.915</v>
      </c>
      <c r="N14" s="55" t="n">
        <f aca="false">M17</f>
        <v>722.65</v>
      </c>
      <c r="O14" s="55" t="n">
        <f aca="false">N17</f>
        <v>650.385</v>
      </c>
      <c r="P14" s="55" t="n">
        <f aca="false">O17</f>
        <v>578.12</v>
      </c>
      <c r="Q14" s="55" t="n">
        <f aca="false">P17</f>
        <v>505.855</v>
      </c>
      <c r="R14" s="55" t="n">
        <f aca="false">Q17</f>
        <v>433.59</v>
      </c>
      <c r="S14" s="55" t="n">
        <f aca="false">R17</f>
        <v>361.325</v>
      </c>
      <c r="T14" s="55" t="n">
        <f aca="false">S17</f>
        <v>289.06</v>
      </c>
      <c r="U14" s="55" t="n">
        <f aca="false">T17</f>
        <v>216.795</v>
      </c>
      <c r="V14" s="55" t="n">
        <f aca="false">U17</f>
        <v>144.53</v>
      </c>
      <c r="W14" s="55" t="n">
        <f aca="false">V17</f>
        <v>72.2649999999996</v>
      </c>
      <c r="X14" s="55" t="n">
        <f aca="false">W17</f>
        <v>0</v>
      </c>
      <c r="Y14" s="55" t="n">
        <f aca="false">X17</f>
        <v>0</v>
      </c>
      <c r="Z14" s="55" t="n">
        <f aca="false">Y17</f>
        <v>0</v>
      </c>
      <c r="AA14" s="55" t="n">
        <f aca="false">Z17</f>
        <v>0</v>
      </c>
      <c r="AB14" s="55" t="n">
        <f aca="false">AA17</f>
        <v>0</v>
      </c>
    </row>
    <row r="15" customFormat="false" ht="15" hidden="false" customHeight="false" outlineLevel="0" collapsed="false">
      <c r="B15" s="47" t="s">
        <v>234</v>
      </c>
      <c r="D15" s="55" t="n">
        <f aca="false">D14*Assumptions!$C$26</f>
        <v>130.077</v>
      </c>
      <c r="E15" s="55" t="n">
        <f aca="false">E14*Assumptions!$C$26</f>
        <v>123.57315</v>
      </c>
      <c r="F15" s="55" t="n">
        <f aca="false">F14*Assumptions!$C$26</f>
        <v>117.0693</v>
      </c>
      <c r="G15" s="55" t="n">
        <f aca="false">G14*Assumptions!$C$26</f>
        <v>110.56545</v>
      </c>
      <c r="H15" s="55" t="n">
        <f aca="false">H14*Assumptions!$C$26</f>
        <v>104.0616</v>
      </c>
      <c r="I15" s="55" t="n">
        <f aca="false">I14*Assumptions!$C$26</f>
        <v>97.5577499999999</v>
      </c>
      <c r="J15" s="55" t="n">
        <f aca="false">J14*Assumptions!$C$26</f>
        <v>91.0538999999999</v>
      </c>
      <c r="K15" s="55" t="n">
        <f aca="false">K14*Assumptions!$C$26</f>
        <v>84.55005</v>
      </c>
      <c r="L15" s="55" t="n">
        <f aca="false">L14*Assumptions!$C$26</f>
        <v>78.0462</v>
      </c>
      <c r="M15" s="55" t="n">
        <f aca="false">M14*Assumptions!$C$26</f>
        <v>71.54235</v>
      </c>
      <c r="N15" s="55" t="n">
        <f aca="false">N14*Assumptions!$C$26</f>
        <v>65.0385</v>
      </c>
      <c r="O15" s="55" t="n">
        <f aca="false">O14*Assumptions!$C$26</f>
        <v>58.53465</v>
      </c>
      <c r="P15" s="55" t="n">
        <f aca="false">P14*Assumptions!$C$26</f>
        <v>52.0308</v>
      </c>
      <c r="Q15" s="55" t="n">
        <f aca="false">Q14*Assumptions!$C$26</f>
        <v>45.52695</v>
      </c>
      <c r="R15" s="55" t="n">
        <f aca="false">R14*Assumptions!$C$26</f>
        <v>39.0231</v>
      </c>
      <c r="S15" s="55" t="n">
        <f aca="false">S14*Assumptions!$C$26</f>
        <v>32.51925</v>
      </c>
      <c r="T15" s="55" t="n">
        <f aca="false">T14*Assumptions!$C$26</f>
        <v>26.0154</v>
      </c>
      <c r="U15" s="55" t="n">
        <f aca="false">U14*Assumptions!$C$26</f>
        <v>19.51155</v>
      </c>
      <c r="V15" s="55" t="n">
        <f aca="false">V14*Assumptions!$C$26</f>
        <v>13.0077</v>
      </c>
      <c r="W15" s="55" t="n">
        <f aca="false">W14*Assumptions!$C$26</f>
        <v>6.50384999999997</v>
      </c>
      <c r="X15" s="55" t="n">
        <f aca="false">X14*Assumptions!$C$26</f>
        <v>0</v>
      </c>
      <c r="Y15" s="55" t="n">
        <f aca="false">Y14*Assumptions!$C$26</f>
        <v>0</v>
      </c>
      <c r="Z15" s="55" t="n">
        <f aca="false">Z14*Assumptions!$C$26</f>
        <v>0</v>
      </c>
      <c r="AA15" s="55" t="n">
        <f aca="false">AA14*Assumptions!$C$26</f>
        <v>0</v>
      </c>
      <c r="AB15" s="55" t="n">
        <f aca="false">AB14*Assumptions!$C$26</f>
        <v>0</v>
      </c>
    </row>
    <row r="16" customFormat="false" ht="15" hidden="false" customHeight="false" outlineLevel="0" collapsed="false">
      <c r="B16" s="47" t="s">
        <v>235</v>
      </c>
      <c r="D16" s="55" t="n">
        <f aca="false">IF(1&lt;=Assumptions!$C$27,MIN(D14,Assumptions!$C$24/Assumptions!$C$27),0)</f>
        <v>72.265</v>
      </c>
      <c r="E16" s="55" t="n">
        <f aca="false">IF(2&lt;=Assumptions!$C$27,MIN(E14,Assumptions!$C$24/Assumptions!$C$27),0)</f>
        <v>72.265</v>
      </c>
      <c r="F16" s="55" t="n">
        <f aca="false">IF(3&lt;=Assumptions!$C$27,MIN(F14,Assumptions!$C$24/Assumptions!$C$27),0)</f>
        <v>72.265</v>
      </c>
      <c r="G16" s="55" t="n">
        <f aca="false">IF(4&lt;=Assumptions!$C$27,MIN(G14,Assumptions!$C$24/Assumptions!$C$27),0)</f>
        <v>72.265</v>
      </c>
      <c r="H16" s="55" t="n">
        <f aca="false">IF(5&lt;=Assumptions!$C$27,MIN(H14,Assumptions!$C$24/Assumptions!$C$27),0)</f>
        <v>72.265</v>
      </c>
      <c r="I16" s="55" t="n">
        <f aca="false">IF(6&lt;=Assumptions!$C$27,MIN(I14,Assumptions!$C$24/Assumptions!$C$27),0)</f>
        <v>72.265</v>
      </c>
      <c r="J16" s="55" t="n">
        <f aca="false">IF(7&lt;=Assumptions!$C$27,MIN(J14,Assumptions!$C$24/Assumptions!$C$27),0)</f>
        <v>72.265</v>
      </c>
      <c r="K16" s="55" t="n">
        <f aca="false">IF(8&lt;=Assumptions!$C$27,MIN(K14,Assumptions!$C$24/Assumptions!$C$27),0)</f>
        <v>72.265</v>
      </c>
      <c r="L16" s="55" t="n">
        <f aca="false">IF(9&lt;=Assumptions!$C$27,MIN(L14,Assumptions!$C$24/Assumptions!$C$27),0)</f>
        <v>72.265</v>
      </c>
      <c r="M16" s="55" t="n">
        <f aca="false">IF(10&lt;=Assumptions!$C$27,MIN(M14,Assumptions!$C$24/Assumptions!$C$27),0)</f>
        <v>72.265</v>
      </c>
      <c r="N16" s="55" t="n">
        <f aca="false">IF(11&lt;=Assumptions!$C$27,MIN(N14,Assumptions!$C$24/Assumptions!$C$27),0)</f>
        <v>72.265</v>
      </c>
      <c r="O16" s="55" t="n">
        <f aca="false">IF(12&lt;=Assumptions!$C$27,MIN(O14,Assumptions!$C$24/Assumptions!$C$27),0)</f>
        <v>72.265</v>
      </c>
      <c r="P16" s="55" t="n">
        <f aca="false">IF(13&lt;=Assumptions!$C$27,MIN(P14,Assumptions!$C$24/Assumptions!$C$27),0)</f>
        <v>72.265</v>
      </c>
      <c r="Q16" s="55" t="n">
        <f aca="false">IF(14&lt;=Assumptions!$C$27,MIN(Q14,Assumptions!$C$24/Assumptions!$C$27),0)</f>
        <v>72.265</v>
      </c>
      <c r="R16" s="55" t="n">
        <f aca="false">IF(15&lt;=Assumptions!$C$27,MIN(R14,Assumptions!$C$24/Assumptions!$C$27),0)</f>
        <v>72.265</v>
      </c>
      <c r="S16" s="55" t="n">
        <f aca="false">IF(16&lt;=Assumptions!$C$27,MIN(S14,Assumptions!$C$24/Assumptions!$C$27),0)</f>
        <v>72.265</v>
      </c>
      <c r="T16" s="55" t="n">
        <f aca="false">IF(17&lt;=Assumptions!$C$27,MIN(T14,Assumptions!$C$24/Assumptions!$C$27),0)</f>
        <v>72.265</v>
      </c>
      <c r="U16" s="55" t="n">
        <f aca="false">IF(18&lt;=Assumptions!$C$27,MIN(U14,Assumptions!$C$24/Assumptions!$C$27),0)</f>
        <v>72.265</v>
      </c>
      <c r="V16" s="55" t="n">
        <f aca="false">IF(19&lt;=Assumptions!$C$27,MIN(V14,Assumptions!$C$24/Assumptions!$C$27),0)</f>
        <v>72.265</v>
      </c>
      <c r="W16" s="55" t="n">
        <f aca="false">IF(20&lt;=Assumptions!$C$27,MIN(W14,Assumptions!$C$24/Assumptions!$C$27),0)</f>
        <v>72.2649999999996</v>
      </c>
      <c r="X16" s="55" t="n">
        <f aca="false">IF(21&lt;=Assumptions!$C$27,MIN(X14,Assumptions!$C$24/Assumptions!$C$27),0)</f>
        <v>0</v>
      </c>
      <c r="Y16" s="55" t="n">
        <f aca="false">IF(22&lt;=Assumptions!$C$27,MIN(Y14,Assumptions!$C$24/Assumptions!$C$27),0)</f>
        <v>0</v>
      </c>
      <c r="Z16" s="55" t="n">
        <f aca="false">IF(23&lt;=Assumptions!$C$27,MIN(Z14,Assumptions!$C$24/Assumptions!$C$27),0)</f>
        <v>0</v>
      </c>
      <c r="AA16" s="55" t="n">
        <f aca="false">IF(24&lt;=Assumptions!$C$27,MIN(AA14,Assumptions!$C$24/Assumptions!$C$27),0)</f>
        <v>0</v>
      </c>
      <c r="AB16" s="55" t="n">
        <f aca="false">IF(25&lt;=Assumptions!$C$27,MIN(AB14,Assumptions!$C$24/Assumptions!$C$27),0)</f>
        <v>0</v>
      </c>
    </row>
    <row r="17" customFormat="false" ht="15" hidden="false" customHeight="false" outlineLevel="0" collapsed="false">
      <c r="B17" s="47" t="s">
        <v>236</v>
      </c>
      <c r="D17" s="55" t="n">
        <f aca="false">D14-D16</f>
        <v>1373.035</v>
      </c>
      <c r="E17" s="55" t="n">
        <f aca="false">E14-E16</f>
        <v>1300.77</v>
      </c>
      <c r="F17" s="55" t="n">
        <f aca="false">F14-F16</f>
        <v>1228.505</v>
      </c>
      <c r="G17" s="55" t="n">
        <f aca="false">G14-G16</f>
        <v>1156.24</v>
      </c>
      <c r="H17" s="55" t="n">
        <f aca="false">H14-H16</f>
        <v>1083.975</v>
      </c>
      <c r="I17" s="55" t="n">
        <f aca="false">I14-I16</f>
        <v>1011.71</v>
      </c>
      <c r="J17" s="55" t="n">
        <f aca="false">J14-J16</f>
        <v>939.445</v>
      </c>
      <c r="K17" s="55" t="n">
        <f aca="false">K14-K16</f>
        <v>867.18</v>
      </c>
      <c r="L17" s="55" t="n">
        <f aca="false">L14-L16</f>
        <v>794.915</v>
      </c>
      <c r="M17" s="55" t="n">
        <f aca="false">M14-M16</f>
        <v>722.65</v>
      </c>
      <c r="N17" s="55" t="n">
        <f aca="false">N14-N16</f>
        <v>650.385</v>
      </c>
      <c r="O17" s="55" t="n">
        <f aca="false">O14-O16</f>
        <v>578.12</v>
      </c>
      <c r="P17" s="55" t="n">
        <f aca="false">P14-P16</f>
        <v>505.855</v>
      </c>
      <c r="Q17" s="55" t="n">
        <f aca="false">Q14-Q16</f>
        <v>433.59</v>
      </c>
      <c r="R17" s="55" t="n">
        <f aca="false">R14-R16</f>
        <v>361.325</v>
      </c>
      <c r="S17" s="55" t="n">
        <f aca="false">S14-S16</f>
        <v>289.06</v>
      </c>
      <c r="T17" s="55" t="n">
        <f aca="false">T14-T16</f>
        <v>216.795</v>
      </c>
      <c r="U17" s="55" t="n">
        <f aca="false">U14-U16</f>
        <v>144.53</v>
      </c>
      <c r="V17" s="55" t="n">
        <f aca="false">V14-V16</f>
        <v>72.2649999999996</v>
      </c>
      <c r="W17" s="55" t="n">
        <f aca="false">W14-W16</f>
        <v>0</v>
      </c>
      <c r="X17" s="55" t="n">
        <f aca="false">X14-X16</f>
        <v>0</v>
      </c>
      <c r="Y17" s="55" t="n">
        <f aca="false">Y14-Y16</f>
        <v>0</v>
      </c>
      <c r="Z17" s="55" t="n">
        <f aca="false">Z14-Z16</f>
        <v>0</v>
      </c>
      <c r="AA17" s="55" t="n">
        <f aca="false">AA14-AA16</f>
        <v>0</v>
      </c>
      <c r="AB17" s="55" t="n">
        <f aca="false">AB14-AB16</f>
        <v>0</v>
      </c>
    </row>
    <row r="18" customFormat="false" ht="15" hidden="false" customHeight="false" outlineLevel="0" collapsed="false">
      <c r="B18" s="47" t="s">
        <v>237</v>
      </c>
      <c r="D18" s="55" t="n">
        <f aca="false">0</f>
        <v>0</v>
      </c>
      <c r="E18" s="55" t="n">
        <f aca="false">-((Assumptions!$C$29/365)*E10-(Assumptions!$C$29/365)*D10)</f>
        <v>-0.118599894629995</v>
      </c>
      <c r="F18" s="55" t="n">
        <f aca="false">-((Assumptions!$C$29/365)*F10-(Assumptions!$C$29/365)*E10)</f>
        <v>0.19667815859475</v>
      </c>
      <c r="G18" s="55" t="n">
        <f aca="false">-((Assumptions!$C$29/365)*G10-(Assumptions!$C$29/365)*F10)</f>
        <v>0.195694767801783</v>
      </c>
      <c r="H18" s="55" t="n">
        <f aca="false">-((Assumptions!$C$29/365)*H10-(Assumptions!$C$29/365)*G10)</f>
        <v>0.194716293962763</v>
      </c>
      <c r="I18" s="55" t="n">
        <f aca="false">-((Assumptions!$C$29/365)*I10-(Assumptions!$C$29/365)*H10)</f>
        <v>0.193742712492956</v>
      </c>
      <c r="J18" s="55" t="n">
        <f aca="false">-((Assumptions!$C$29/365)*J10-(Assumptions!$C$29/365)*I10)</f>
        <v>0.192773998930477</v>
      </c>
      <c r="K18" s="55" t="n">
        <f aca="false">-((Assumptions!$C$29/365)*K10-(Assumptions!$C$29/365)*J10)</f>
        <v>0.191810128935842</v>
      </c>
      <c r="L18" s="55" t="n">
        <f aca="false">-((Assumptions!$C$29/365)*L10-(Assumptions!$C$29/365)*K10)</f>
        <v>0.190851078291168</v>
      </c>
      <c r="M18" s="55" t="n">
        <f aca="false">-((Assumptions!$C$29/365)*M10-(Assumptions!$C$29/365)*L10)</f>
        <v>0.189896822899698</v>
      </c>
      <c r="N18" s="55" t="n">
        <f aca="false">-((Assumptions!$C$29/365)*N10-(Assumptions!$C$29/365)*M10)</f>
        <v>0.188947338785198</v>
      </c>
      <c r="O18" s="55" t="n">
        <f aca="false">-((Assumptions!$C$29/365)*O10-(Assumptions!$C$29/365)*N10)</f>
        <v>0.188002602091274</v>
      </c>
      <c r="P18" s="55" t="n">
        <f aca="false">-((Assumptions!$C$29/365)*P10-(Assumptions!$C$29/365)*O10)</f>
        <v>0.187062589080831</v>
      </c>
      <c r="Q18" s="55" t="n">
        <f aca="false">-((Assumptions!$C$29/365)*Q10-(Assumptions!$C$29/365)*P10)</f>
        <v>0.186127276135416</v>
      </c>
      <c r="R18" s="55" t="n">
        <f aca="false">-((Assumptions!$C$29/365)*R10-(Assumptions!$C$29/365)*Q10)</f>
        <v>0.185196639754729</v>
      </c>
      <c r="S18" s="55" t="n">
        <f aca="false">-((Assumptions!$C$29/365)*S10-(Assumptions!$C$29/365)*R10)</f>
        <v>0.184270656555967</v>
      </c>
      <c r="T18" s="55" t="n">
        <f aca="false">-((Assumptions!$C$29/365)*T10-(Assumptions!$C$29/365)*S10)</f>
        <v>0.183349303273189</v>
      </c>
      <c r="U18" s="55" t="n">
        <f aca="false">-((Assumptions!$C$29/365)*U10-(Assumptions!$C$29/365)*T10)</f>
        <v>0.182432556756829</v>
      </c>
      <c r="V18" s="55" t="n">
        <f aca="false">-((Assumptions!$C$29/365)*V10-(Assumptions!$C$29/365)*U10)</f>
        <v>0.181520393973031</v>
      </c>
      <c r="W18" s="55" t="n">
        <f aca="false">-((Assumptions!$C$29/365)*W10-(Assumptions!$C$29/365)*V10)</f>
        <v>0.180612792003167</v>
      </c>
      <c r="X18" s="55" t="n">
        <f aca="false">-((Assumptions!$C$29/365)*X10-(Assumptions!$C$29/365)*W10)</f>
        <v>0.179709728043157</v>
      </c>
      <c r="Y18" s="55" t="n">
        <f aca="false">-((Assumptions!$C$29/365)*Y10-(Assumptions!$C$29/365)*X10)</f>
        <v>0.178811179402942</v>
      </c>
      <c r="Z18" s="55" t="n">
        <f aca="false">-((Assumptions!$C$29/365)*Z10-(Assumptions!$C$29/365)*Y10)</f>
        <v>0.177917123505928</v>
      </c>
      <c r="AA18" s="55" t="n">
        <f aca="false">-((Assumptions!$C$29/365)*AA10-(Assumptions!$C$29/365)*Z10)</f>
        <v>0.177027537888378</v>
      </c>
      <c r="AB18" s="55" t="n">
        <f aca="false">-((Assumptions!$C$29/365)*AB10-(Assumptions!$C$29/365)*AA10)</f>
        <v>0.176142400198955</v>
      </c>
    </row>
    <row r="19" customFormat="false" ht="15" hidden="false" customHeight="false" outlineLevel="0" collapsed="false">
      <c r="B19" s="47" t="s">
        <v>238</v>
      </c>
      <c r="D19" s="55" t="n">
        <f aca="false">-MAX(0,D12-D13)*Assumptions!$C$32</f>
        <v>-0</v>
      </c>
      <c r="E19" s="55" t="n">
        <f aca="false">-MAX(0,E12-E13)*Assumptions!$C$32</f>
        <v>-0</v>
      </c>
      <c r="F19" s="55" t="n">
        <f aca="false">-MAX(0,F12-F13)*Assumptions!$C$32</f>
        <v>-0</v>
      </c>
      <c r="G19" s="55" t="n">
        <f aca="false">-MAX(0,G12-G13)*Assumptions!$C$32</f>
        <v>-27.2567170033163</v>
      </c>
      <c r="H19" s="55" t="n">
        <f aca="false">-MAX(0,H12-H13)*Assumptions!$C$32</f>
        <v>-43.5125793132022</v>
      </c>
      <c r="I19" s="55" t="n">
        <f aca="false">-MAX(0,I12-I13)*Assumptions!$C$32</f>
        <v>-53.0127360186144</v>
      </c>
      <c r="J19" s="55" t="n">
        <f aca="false">-MAX(0,J12-J13)*Assumptions!$C$32</f>
        <v>-58.457053911434</v>
      </c>
      <c r="K19" s="55" t="n">
        <f aca="false">-MAX(0,K12-K13)*Assumptions!$C$32</f>
        <v>-61.4653562285926</v>
      </c>
      <c r="L19" s="55" t="n">
        <f aca="false">-MAX(0,L12-L13)*Assumptions!$C$32</f>
        <v>-63.0094372752581</v>
      </c>
      <c r="M19" s="55" t="n">
        <f aca="false">-MAX(0,M12-M13)*Assumptions!$C$32</f>
        <v>-63.6722711144056</v>
      </c>
      <c r="N19" s="55" t="n">
        <f aca="false">-MAX(0,N12-N13)*Assumptions!$C$32</f>
        <v>-63.8035366936904</v>
      </c>
      <c r="O19" s="55" t="n">
        <f aca="false">-MAX(0,O12-O13)*Assumptions!$C$32</f>
        <v>-63.6129328320952</v>
      </c>
      <c r="P19" s="55" t="n">
        <f aca="false">-MAX(0,P12-P13)*Assumptions!$C$32</f>
        <v>-63.2261671197583</v>
      </c>
      <c r="Q19" s="55" t="n">
        <f aca="false">-MAX(0,Q12-Q13)*Assumptions!$C$32</f>
        <v>-62.7185491629473</v>
      </c>
      <c r="R19" s="55" t="n">
        <f aca="false">-MAX(0,R12-R13)*Assumptions!$C$32</f>
        <v>-62.13514643327</v>
      </c>
      <c r="S19" s="55" t="n">
        <f aca="false">-MAX(0,S12-S13)*Assumptions!$C$32</f>
        <v>-61.502877676498</v>
      </c>
      <c r="T19" s="55" t="n">
        <f aca="false">-MAX(0,T12-T13)*Assumptions!$C$32</f>
        <v>-60.8377688541346</v>
      </c>
      <c r="U19" s="55" t="n">
        <f aca="false">-MAX(0,U12-U13)*Assumptions!$C$32</f>
        <v>-60.1493066015196</v>
      </c>
      <c r="V19" s="55" t="n">
        <f aca="false">-MAX(0,V12-V13)*Assumptions!$C$32</f>
        <v>-59.4430501926509</v>
      </c>
      <c r="W19" s="55" t="n">
        <f aca="false">-MAX(0,W12-W13)*Assumptions!$C$32</f>
        <v>-58.7221986057353</v>
      </c>
      <c r="X19" s="55" t="n">
        <f aca="false">-MAX(0,X12-X13)*Assumptions!$C$32</f>
        <v>-57.9885306457774</v>
      </c>
      <c r="Y19" s="55" t="n">
        <f aca="false">-MAX(0,Y12-Y13)*Assumptions!$C$32</f>
        <v>-57.2429688978897</v>
      </c>
      <c r="Z19" s="55" t="n">
        <f aca="false">-MAX(0,Z12-Z13)*Assumptions!$C$32</f>
        <v>-56.4859179754275</v>
      </c>
      <c r="AA19" s="55" t="n">
        <f aca="false">-MAX(0,AA12-AA13)*Assumptions!$C$32</f>
        <v>-55.7174673413054</v>
      </c>
      <c r="AB19" s="55" t="n">
        <f aca="false">-MAX(0,AB12-AB13)*Assumptions!$C$32</f>
        <v>-54.9375128693946</v>
      </c>
    </row>
    <row r="20" customFormat="false" ht="15" hidden="false" customHeight="false" outlineLevel="0" collapsed="false">
      <c r="B20" s="47" t="s">
        <v>239</v>
      </c>
      <c r="D20" s="55" t="n">
        <f aca="false">-MAX(MAX(0,D12-D13-D15)*Assumptions!$C$32,MAX(0,D12-Assumptions!$C$22/Assumptions!$C$35-D15)*Assumptions!$C$33)</f>
        <v>-12.5145653618769</v>
      </c>
      <c r="E20" s="55" t="n">
        <f aca="false">-MAX(MAX(0,E12-E13-E15)*Assumptions!$C$32,MAX(0,E12-Assumptions!$C$22/Assumptions!$C$35-E15)*Assumptions!$C$33)</f>
        <v>-13.6586409098825</v>
      </c>
      <c r="F20" s="55" t="n">
        <f aca="false">-MAX(MAX(0,F12-F13-F15)*Assumptions!$C$32,MAX(0,F12-Assumptions!$C$22/Assumptions!$C$35-F15)*Assumptions!$C$33)</f>
        <v>-14.3592203555931</v>
      </c>
      <c r="G20" s="55" t="n">
        <f aca="false">-MAX(MAX(0,G12-G13-G15)*Assumptions!$C$32,MAX(0,G12-Assumptions!$C$22/Assumptions!$C$35-G15)*Assumptions!$C$33)</f>
        <v>-15.0563629209976</v>
      </c>
      <c r="H20" s="55" t="n">
        <f aca="false">-MAX(MAX(0,H12-H13-H15)*Assumptions!$C$32,MAX(0,H12-Assumptions!$C$22/Assumptions!$C$35-H15)*Assumptions!$C$33)</f>
        <v>-17.3202745932022</v>
      </c>
      <c r="I20" s="55" t="n">
        <f aca="false">-MAX(MAX(0,I12-I13-I15)*Assumptions!$C$32,MAX(0,I12-Assumptions!$C$22/Assumptions!$C$35-I15)*Assumptions!$C$33)</f>
        <v>-28.4574503436144</v>
      </c>
      <c r="J20" s="55" t="n">
        <f aca="false">-MAX(MAX(0,J12-J13-J15)*Assumptions!$C$32,MAX(0,J12-Assumptions!$C$22/Assumptions!$C$35-J15)*Assumptions!$C$33)</f>
        <v>-35.5387872814341</v>
      </c>
      <c r="K20" s="55" t="n">
        <f aca="false">-MAX(MAX(0,K12-K13-K15)*Assumptions!$C$32,MAX(0,K12-Assumptions!$C$22/Assumptions!$C$35-K15)*Assumptions!$C$33)</f>
        <v>-40.1841086435927</v>
      </c>
      <c r="L20" s="55" t="n">
        <f aca="false">-MAX(MAX(0,L12-L13-L15)*Assumptions!$C$32,MAX(0,L12-Assumptions!$C$22/Assumptions!$C$35-L15)*Assumptions!$C$33)</f>
        <v>-43.3652087352581</v>
      </c>
      <c r="M20" s="55" t="n">
        <f aca="false">-MAX(MAX(0,M12-M13-M15)*Assumptions!$C$32,MAX(0,M12-Assumptions!$C$22/Assumptions!$C$35-M15)*Assumptions!$C$33)</f>
        <v>-45.6650616194056</v>
      </c>
      <c r="N20" s="55" t="n">
        <f aca="false">-MAX(MAX(0,N12-N13-N15)*Assumptions!$C$32,MAX(0,N12-Assumptions!$C$22/Assumptions!$C$35-N15)*Assumptions!$C$33)</f>
        <v>-47.4333462436904</v>
      </c>
      <c r="O20" s="55" t="n">
        <f aca="false">-MAX(MAX(0,O12-O13-O15)*Assumptions!$C$32,MAX(0,O12-Assumptions!$C$22/Assumptions!$C$35-O15)*Assumptions!$C$33)</f>
        <v>-48.8797614270952</v>
      </c>
      <c r="P20" s="55" t="n">
        <f aca="false">-MAX(MAX(0,P12-P13-P15)*Assumptions!$C$32,MAX(0,P12-Assumptions!$C$22/Assumptions!$C$35-P15)*Assumptions!$C$33)</f>
        <v>-50.1300147597583</v>
      </c>
      <c r="Q20" s="55" t="n">
        <f aca="false">-MAX(MAX(0,Q12-Q13-Q15)*Assumptions!$C$32,MAX(0,Q12-Assumptions!$C$22/Assumptions!$C$35-Q15)*Assumptions!$C$33)</f>
        <v>-51.2594158479473</v>
      </c>
      <c r="R20" s="55" t="n">
        <f aca="false">-MAX(MAX(0,R12-R13-R15)*Assumptions!$C$32,MAX(0,R12-Assumptions!$C$22/Assumptions!$C$35-R15)*Assumptions!$C$33)</f>
        <v>-52.31303216327</v>
      </c>
      <c r="S20" s="55" t="n">
        <f aca="false">-MAX(MAX(0,S12-S13-S15)*Assumptions!$C$32,MAX(0,S12-Assumptions!$C$22/Assumptions!$C$35-S15)*Assumptions!$C$33)</f>
        <v>-53.3177824514981</v>
      </c>
      <c r="T20" s="55" t="n">
        <f aca="false">-MAX(MAX(0,T12-T13-T15)*Assumptions!$C$32,MAX(0,T12-Assumptions!$C$22/Assumptions!$C$35-T15)*Assumptions!$C$33)</f>
        <v>-54.2896926741346</v>
      </c>
      <c r="U20" s="55" t="n">
        <f aca="false">-MAX(MAX(0,U12-U13-U15)*Assumptions!$C$32,MAX(0,U12-Assumptions!$C$22/Assumptions!$C$35-U15)*Assumptions!$C$33)</f>
        <v>-55.2382494665196</v>
      </c>
      <c r="V20" s="55" t="n">
        <f aca="false">-MAX(MAX(0,V12-V13-V15)*Assumptions!$C$32,MAX(0,V12-Assumptions!$C$22/Assumptions!$C$35-V15)*Assumptions!$C$33)</f>
        <v>-56.1690121026509</v>
      </c>
      <c r="W20" s="55" t="n">
        <f aca="false">-MAX(MAX(0,W12-W13-W15)*Assumptions!$C$32,MAX(0,W12-Assumptions!$C$22/Assumptions!$C$35-W15)*Assumptions!$C$33)</f>
        <v>-57.0851795607353</v>
      </c>
      <c r="X20" s="55" t="n">
        <f aca="false">-MAX(MAX(0,X12-X13-X15)*Assumptions!$C$32,MAX(0,X12-Assumptions!$C$22/Assumptions!$C$35-X15)*Assumptions!$C$33)</f>
        <v>-57.9885306457774</v>
      </c>
      <c r="Y20" s="55" t="n">
        <f aca="false">-MAX(MAX(0,Y12-Y13-Y15)*Assumptions!$C$32,MAX(0,Y12-Assumptions!$C$22/Assumptions!$C$35-Y15)*Assumptions!$C$33)</f>
        <v>-57.2429688978897</v>
      </c>
      <c r="Z20" s="55" t="n">
        <f aca="false">-MAX(MAX(0,Z12-Z13-Z15)*Assumptions!$C$32,MAX(0,Z12-Assumptions!$C$22/Assumptions!$C$35-Z15)*Assumptions!$C$33)</f>
        <v>-56.4859179754275</v>
      </c>
      <c r="AA20" s="55" t="n">
        <f aca="false">-MAX(MAX(0,AA12-AA13-AA15)*Assumptions!$C$32,MAX(0,AA12-Assumptions!$C$22/Assumptions!$C$35-AA15)*Assumptions!$C$33)</f>
        <v>-55.7174673413054</v>
      </c>
      <c r="AB20" s="55" t="n">
        <f aca="false">-MAX(MAX(0,AB12-AB13-AB15)*Assumptions!$C$32,MAX(0,AB12-Assumptions!$C$22/Assumptions!$C$35-AB15)*Assumptions!$C$33)</f>
        <v>-54.9375128693946</v>
      </c>
    </row>
    <row r="22" customFormat="false" ht="15" hidden="false" customHeight="false" outlineLevel="0" collapsed="false">
      <c r="B22" s="36" t="s">
        <v>240</v>
      </c>
      <c r="C22" s="42" t="n">
        <f aca="false">-Assumptions!$C$22</f>
        <v>-1940</v>
      </c>
      <c r="D22" s="42" t="n">
        <f aca="false">D12+D19+D18-Assumptions!$C$28</f>
        <v>278.05570257504</v>
      </c>
      <c r="E22" s="42" t="n">
        <f aca="false">E12+E19+E18-Assumptions!$C$28</f>
        <v>278.10035960352</v>
      </c>
      <c r="F22" s="42" t="n">
        <f aca="false">F12+F19+F18-Assumptions!$C$28</f>
        <v>275.994418459254</v>
      </c>
      <c r="G22" s="42" t="n">
        <f aca="false">G12+G19+G18-Assumptions!$C$28</f>
        <v>246.295470427641</v>
      </c>
      <c r="H22" s="42" t="n">
        <f aca="false">H12+H19+H18-Assumptions!$C$28</f>
        <v>227.576505805561</v>
      </c>
      <c r="I22" s="42" t="n">
        <f aca="false">I12+I19+I18-Assumptions!$C$28</f>
        <v>215.591503359013</v>
      </c>
      <c r="J22" s="42" t="n">
        <f aca="false">J12+J19+J18-Assumptions!$C$28</f>
        <v>207.63969905704</v>
      </c>
      <c r="K22" s="42" t="n">
        <f aca="false">K12+K19+K18-Assumptions!$C$28</f>
        <v>202.10034657302</v>
      </c>
      <c r="L22" s="42" t="n">
        <f aca="false">L12+L19+L18-Assumptions!$C$28</f>
        <v>198.000701882215</v>
      </c>
      <c r="M22" s="42" t="n">
        <f aca="false">M12+M19+M18-Assumptions!$C$28</f>
        <v>194.756813769554</v>
      </c>
      <c r="N22" s="42" t="n">
        <f aca="false">N12+N19+N18-Assumptions!$C$28</f>
        <v>192.017997876038</v>
      </c>
      <c r="O22" s="42" t="n">
        <f aca="false">O12+O19+O18-Assumptions!$C$28</f>
        <v>189.573520860572</v>
      </c>
      <c r="P22" s="42" t="n">
        <f aca="false">P12+P19+P18-Assumptions!$C$28</f>
        <v>187.296610623077</v>
      </c>
      <c r="Q22" s="42" t="n">
        <f aca="false">Q12+Q19+Q18-Assumptions!$C$28</f>
        <v>185.110862156145</v>
      </c>
      <c r="R22" s="42" t="n">
        <f aca="false">R12+R19+R18-Assumptions!$C$28</f>
        <v>182.97008076536</v>
      </c>
      <c r="S22" s="42" t="n">
        <f aca="false">S12+S19+S18-Assumptions!$C$28</f>
        <v>180.846187702098</v>
      </c>
      <c r="T22" s="42" t="n">
        <f aca="false">T12+T19+T18-Assumptions!$C$28</f>
        <v>178.721963234829</v>
      </c>
      <c r="U22" s="42" t="n">
        <f aca="false">U12+U19+U18-Assumptions!$C$28</f>
        <v>176.586692174283</v>
      </c>
      <c r="V22" s="42" t="n">
        <f aca="false">V12+V19+V18-Assumptions!$C$28</f>
        <v>174.433550861391</v>
      </c>
      <c r="W22" s="42" t="n">
        <f aca="false">W12+W19+W18-Assumptions!$C$28</f>
        <v>172.258039023091</v>
      </c>
      <c r="X22" s="42" t="n">
        <f aca="false">X12+X19+X18-Assumptions!$C$28</f>
        <v>170.057038538735</v>
      </c>
      <c r="Y22" s="42" t="n">
        <f aca="false">Y12+Y19+Y18-Assumptions!$C$28</f>
        <v>167.828248342456</v>
      </c>
      <c r="Z22" s="42" t="n">
        <f aca="false">Z12+Z19+Z18-Assumptions!$C$28</f>
        <v>165.569844996379</v>
      </c>
      <c r="AA22" s="42" t="n">
        <f aca="false">AA12+AA19+AA18-Assumptions!$C$28</f>
        <v>163.280278655301</v>
      </c>
      <c r="AB22" s="42" t="n">
        <f aca="false">AB12+AB19+AB18-Assumptions!$C$28</f>
        <v>160.958150254868</v>
      </c>
    </row>
    <row r="23" customFormat="false" ht="15" hidden="false" customHeight="false" outlineLevel="0" collapsed="false">
      <c r="B23" s="36" t="s">
        <v>241</v>
      </c>
      <c r="C23" s="42" t="n">
        <f aca="false">-Assumptions!$C$25</f>
        <v>-494.7</v>
      </c>
      <c r="D23" s="42" t="n">
        <f aca="false">D12+D20-D15-D16+D18-Assumptions!$C$28</f>
        <v>63.1991372131632</v>
      </c>
      <c r="E23" s="42" t="n">
        <f aca="false">E12+E20-E15-E16+E18-Assumptions!$C$28</f>
        <v>68.6035686936374</v>
      </c>
      <c r="F23" s="42" t="n">
        <f aca="false">F12+F20-F15-F16+F18-Assumptions!$C$28</f>
        <v>72.3008981036608</v>
      </c>
      <c r="G23" s="42" t="n">
        <f aca="false">G12+G20-G15-G16+G18-Assumptions!$C$28</f>
        <v>75.6653745099602</v>
      </c>
      <c r="H23" s="42" t="n">
        <f aca="false">H12+H20-H15-H16+H18-Assumptions!$C$28</f>
        <v>77.4422105255607</v>
      </c>
      <c r="I23" s="42" t="n">
        <f aca="false">I12+I20-I15-I16+I18-Assumptions!$C$28</f>
        <v>70.3240390340132</v>
      </c>
      <c r="J23" s="42" t="n">
        <f aca="false">J12+J20-J15-J16+J18-Assumptions!$C$28</f>
        <v>67.2390656870397</v>
      </c>
      <c r="K23" s="42" t="n">
        <f aca="false">K12+K20-K15-K16+K18-Assumptions!$C$28</f>
        <v>66.5665441580197</v>
      </c>
      <c r="L23" s="42" t="n">
        <f aca="false">L12+L20-L15-L16+L18-Assumptions!$C$28</f>
        <v>67.3337304222151</v>
      </c>
      <c r="M23" s="42" t="n">
        <f aca="false">M12+M20-M15-M16+M18-Assumptions!$C$28</f>
        <v>68.9566732645542</v>
      </c>
      <c r="N23" s="42" t="n">
        <f aca="false">N12+N20-N15-N16+N18-Assumptions!$C$28</f>
        <v>71.0846883260378</v>
      </c>
      <c r="O23" s="42" t="n">
        <f aca="false">O12+O20-O15-O16+O18-Assumptions!$C$28</f>
        <v>73.5070422655719</v>
      </c>
      <c r="P23" s="42" t="n">
        <f aca="false">P12+P20-P15-P16+P18-Assumptions!$C$28</f>
        <v>76.0969629830769</v>
      </c>
      <c r="Q23" s="42" t="n">
        <f aca="false">Q12+Q20-Q15-Q16+Q18-Assumptions!$C$28</f>
        <v>78.7780454711452</v>
      </c>
      <c r="R23" s="42" t="n">
        <f aca="false">R12+R20-R15-R16+R18-Assumptions!$C$28</f>
        <v>81.5040950353605</v>
      </c>
      <c r="S23" s="42" t="n">
        <f aca="false">S12+S20-S15-S16+S18-Assumptions!$C$28</f>
        <v>84.2470329270978</v>
      </c>
      <c r="T23" s="42" t="n">
        <f aca="false">T12+T20-T15-T16+T18-Assumptions!$C$28</f>
        <v>86.989639414829</v>
      </c>
      <c r="U23" s="42" t="n">
        <f aca="false">U12+U20-U15-U16+U18-Assumptions!$C$28</f>
        <v>89.721199309283</v>
      </c>
      <c r="V23" s="42" t="n">
        <f aca="false">V12+V20-V15-V16+V18-Assumptions!$C$28</f>
        <v>92.4348889513913</v>
      </c>
      <c r="W23" s="42" t="n">
        <f aca="false">W12+W20-W15-W16+W18-Assumptions!$C$28</f>
        <v>95.1262080680913</v>
      </c>
      <c r="X23" s="42" t="n">
        <f aca="false">X12+X20-X15-X16+X18-Assumptions!$C$28</f>
        <v>170.057038538735</v>
      </c>
      <c r="Y23" s="42" t="n">
        <f aca="false">Y12+Y20-Y15-Y16+Y18-Assumptions!$C$28</f>
        <v>167.828248342456</v>
      </c>
      <c r="Z23" s="42" t="n">
        <f aca="false">Z12+Z20-Z15-Z16+Z18-Assumptions!$C$28</f>
        <v>165.569844996379</v>
      </c>
      <c r="AA23" s="42" t="n">
        <f aca="false">AA12+AA20-AA15-AA16+AA18-Assumptions!$C$28</f>
        <v>163.280278655301</v>
      </c>
      <c r="AB23" s="42" t="n">
        <f aca="false">AB12+AB20-AB15-AB16+AB18-Assumptions!$C$28</f>
        <v>160.958150254868</v>
      </c>
    </row>
    <row r="24" customFormat="false" ht="15" hidden="false" customHeight="false" outlineLevel="0" collapsed="false">
      <c r="B24" s="20" t="s">
        <v>242</v>
      </c>
      <c r="D24" s="56"/>
      <c r="E24" s="56"/>
      <c r="F24" s="56"/>
      <c r="G24" s="56"/>
      <c r="H24" s="56" t="n">
        <f aca="false">1/(1+WACC!$C$22)^(1-0.5)</f>
        <v>0.956264616066318</v>
      </c>
      <c r="I24" s="56" t="n">
        <f aca="false">1/(1+WACC!$C$22)^(2-0.5)</f>
        <v>0.874448543288215</v>
      </c>
      <c r="J24" s="56" t="n">
        <f aca="false">1/(1+WACC!$C$22)^(3-0.5)</f>
        <v>0.799632488760676</v>
      </c>
      <c r="K24" s="56" t="n">
        <f aca="false">1/(1+WACC!$C$22)^(4-0.5)</f>
        <v>0.731217545033801</v>
      </c>
      <c r="L24" s="56" t="n">
        <f aca="false">1/(1+WACC!$C$22)^(5-0.5)</f>
        <v>0.668656045971744</v>
      </c>
      <c r="M24" s="56" t="n">
        <f aca="false">1/(1+WACC!$C$22)^(6-0.5)</f>
        <v>0.61144718264918</v>
      </c>
      <c r="N24" s="56" t="n">
        <f aca="false">1/(1+WACC!$C$22)^(7-0.5)</f>
        <v>0.559132994342832</v>
      </c>
      <c r="O24" s="56" t="n">
        <f aca="false">1/(1+WACC!$C$22)^(8-0.5)</f>
        <v>0.511294702525686</v>
      </c>
      <c r="P24" s="56" t="n">
        <f aca="false">1/(1+WACC!$C$22)^(9-0.5)</f>
        <v>0.467549358517267</v>
      </c>
      <c r="Q24" s="56" t="n">
        <f aca="false">1/(1+WACC!$C$22)^(10-0.5)</f>
        <v>0.427546777954199</v>
      </c>
      <c r="R24" s="56" t="n">
        <f aca="false">1/(1+WACC!$C$22)^(11-0.5)</f>
        <v>0.390966737541287</v>
      </c>
      <c r="S24" s="56" t="n">
        <f aca="false">1/(1+WACC!$C$22)^(12-0.5)</f>
        <v>0.35751641164292</v>
      </c>
      <c r="T24" s="56" t="n">
        <f aca="false">1/(1+WACC!$C$22)^(13-0.5)</f>
        <v>0.326928028194552</v>
      </c>
      <c r="U24" s="56" t="n">
        <f aca="false">1/(1+WACC!$C$22)^(14-0.5)</f>
        <v>0.298956725169666</v>
      </c>
      <c r="V24" s="56" t="n">
        <f aca="false">1/(1+WACC!$C$22)^(15-0.5)</f>
        <v>0.273378590443108</v>
      </c>
      <c r="W24" s="56" t="n">
        <f aca="false">1/(1+WACC!$C$22)^(16-0.5)</f>
        <v>0.249988869359758</v>
      </c>
      <c r="X24" s="56" t="n">
        <f aca="false">1/(1+WACC!$C$22)^(17-0.5)</f>
        <v>0.228600325660013</v>
      </c>
      <c r="Y24" s="56" t="n">
        <f aca="false">1/(1+WACC!$C$22)^(18-0.5)</f>
        <v>0.209041742641189</v>
      </c>
      <c r="Z24" s="56" t="n">
        <f aca="false">1/(1+WACC!$C$22)^(19-0.5)</f>
        <v>0.191156552556516</v>
      </c>
      <c r="AA24" s="56" t="n">
        <f aca="false">1/(1+WACC!$C$22)^(20-0.5)</f>
        <v>0.174801583280009</v>
      </c>
      <c r="AB24" s="56" t="n">
        <f aca="false">1/(1+WACC!$C$22)^(21-0.5)</f>
        <v>0.159845912204156</v>
      </c>
    </row>
    <row r="25" customFormat="false" ht="15" hidden="false" customHeight="false" outlineLevel="0" collapsed="false">
      <c r="B25" s="20" t="s">
        <v>243</v>
      </c>
      <c r="H25" s="40" t="n">
        <f aca="false">H22*H24</f>
        <v>217.623359949869</v>
      </c>
      <c r="I25" s="40" t="n">
        <f aca="false">I22*I24</f>
        <v>188.523676057605</v>
      </c>
      <c r="J25" s="40" t="n">
        <f aca="false">J22*J24</f>
        <v>166.035449322498</v>
      </c>
      <c r="K25" s="40" t="n">
        <f aca="false">K22*K24</f>
        <v>147.779319271604</v>
      </c>
      <c r="L25" s="40" t="n">
        <f aca="false">L22*L24</f>
        <v>132.394366420192</v>
      </c>
      <c r="M25" s="40" t="n">
        <f aca="false">M22*M24</f>
        <v>119.083505081125</v>
      </c>
      <c r="N25" s="40" t="n">
        <f aca="false">N22*N24</f>
        <v>107.363598120145</v>
      </c>
      <c r="O25" s="40" t="n">
        <f aca="false">O22*O24</f>
        <v>96.927936955153</v>
      </c>
      <c r="P25" s="40" t="n">
        <f aca="false">P22*P24</f>
        <v>87.5704101492779</v>
      </c>
      <c r="Q25" s="40" t="n">
        <f aca="false">Q22*Q24</f>
        <v>79.1435526791838</v>
      </c>
      <c r="R25" s="40" t="n">
        <f aca="false">R22*R24</f>
        <v>71.5352155444988</v>
      </c>
      <c r="S25" s="40" t="n">
        <f aca="false">S22*S24</f>
        <v>64.655480086556</v>
      </c>
      <c r="T25" s="40" t="n">
        <f aca="false">T22*T24</f>
        <v>58.4292190354218</v>
      </c>
      <c r="U25" s="40" t="n">
        <f aca="false">U22*U24</f>
        <v>52.7917792009675</v>
      </c>
      <c r="V25" s="40" t="n">
        <f aca="false">V22*V24</f>
        <v>47.6863982604733</v>
      </c>
      <c r="W25" s="40" t="n">
        <f aca="false">W22*W24</f>
        <v>43.0625924135115</v>
      </c>
      <c r="X25" s="40" t="n">
        <f aca="false">X22*X24</f>
        <v>38.8750943907322</v>
      </c>
      <c r="Y25" s="40" t="n">
        <f aca="false">Y22*Y24</f>
        <v>35.0831094979251</v>
      </c>
      <c r="Z25" s="40" t="n">
        <f aca="false">Z22*Z24</f>
        <v>31.6497607768245</v>
      </c>
      <c r="AA25" s="40" t="n">
        <f aca="false">AA22*AA24</f>
        <v>28.5416512273477</v>
      </c>
      <c r="AB25" s="40" t="n">
        <f aca="false">AB22*AB24</f>
        <v>25.728502354183</v>
      </c>
    </row>
    <row r="28" customFormat="false" ht="15" hidden="false" customHeight="false" outlineLevel="0" collapsed="false">
      <c r="B28" s="18" t="s">
        <v>244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</row>
    <row r="29" customFormat="false" ht="15" hidden="false" customHeight="false" outlineLevel="0" collapsed="false">
      <c r="B29" s="20" t="s">
        <v>245</v>
      </c>
      <c r="C29" s="29" t="n">
        <f aca="false">SUM(H25:M25)</f>
        <v>971.439676102893</v>
      </c>
      <c r="F29" s="5" t="s">
        <v>246</v>
      </c>
    </row>
    <row r="30" customFormat="false" ht="15" hidden="false" customHeight="false" outlineLevel="0" collapsed="false">
      <c r="B30" s="20" t="s">
        <v>247</v>
      </c>
      <c r="C30" s="57" t="n">
        <f aca="false">M22</f>
        <v>194.756813769554</v>
      </c>
    </row>
    <row r="31" customFormat="false" ht="15" hidden="false" customHeight="false" outlineLevel="0" collapsed="false">
      <c r="B31" s="20" t="s">
        <v>248</v>
      </c>
      <c r="C31" s="29" t="n">
        <f aca="false">M22*(1+Assumptions!$C$39)/(WACC!$C$22-Assumptions!$C$39)</f>
        <v>2516.17224606348</v>
      </c>
      <c r="F31" s="5" t="s">
        <v>249</v>
      </c>
    </row>
    <row r="32" customFormat="false" ht="15" hidden="false" customHeight="false" outlineLevel="0" collapsed="false">
      <c r="B32" s="20" t="s">
        <v>250</v>
      </c>
      <c r="C32" s="29" t="n">
        <f aca="false">C31/(1+WACC!$C$22)^(6-0.5)</f>
        <v>1538.50643091557</v>
      </c>
    </row>
    <row r="33" customFormat="false" ht="15" hidden="false" customHeight="false" outlineLevel="0" collapsed="false">
      <c r="B33" s="36" t="s">
        <v>251</v>
      </c>
      <c r="C33" s="58" t="n">
        <f aca="false">C29+C32</f>
        <v>2509.94610701847</v>
      </c>
    </row>
    <row r="34" customFormat="false" ht="15" hidden="false" customHeight="false" outlineLevel="0" collapsed="false">
      <c r="B34" s="20" t="s">
        <v>252</v>
      </c>
      <c r="C34" s="29" t="n">
        <f aca="false">SUM(H25:AF25)</f>
        <v>1840.48397679509</v>
      </c>
      <c r="F34" s="5" t="s">
        <v>253</v>
      </c>
    </row>
    <row r="36" customFormat="false" ht="15" hidden="false" customHeight="false" outlineLevel="0" collapsed="false">
      <c r="B36" s="18" t="s">
        <v>254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</row>
    <row r="37" customFormat="false" ht="15" hidden="false" customHeight="false" outlineLevel="0" collapsed="false">
      <c r="B37" s="20" t="s">
        <v>255</v>
      </c>
      <c r="C37" s="59" t="n">
        <f aca="false">('Balance Sheet'!F16-'Balance Sheet'!F12)</f>
        <v>1101.24</v>
      </c>
    </row>
    <row r="38" customFormat="false" ht="15" hidden="false" customHeight="false" outlineLevel="0" collapsed="false">
      <c r="B38" s="36" t="s">
        <v>256</v>
      </c>
      <c r="C38" s="58" t="n">
        <f aca="false">C33-C37</f>
        <v>1408.70610701847</v>
      </c>
    </row>
    <row r="39" customFormat="false" ht="15" hidden="false" customHeight="false" outlineLevel="0" collapsed="false">
      <c r="B39" s="20" t="s">
        <v>92</v>
      </c>
      <c r="C39" s="29" t="n">
        <f aca="false">Assumptions!$C$37</f>
        <v>48</v>
      </c>
    </row>
    <row r="40" customFormat="false" ht="15" hidden="false" customHeight="false" outlineLevel="0" collapsed="false">
      <c r="B40" s="36" t="s">
        <v>15</v>
      </c>
      <c r="C40" s="60" t="n">
        <f aca="false">C38/C39</f>
        <v>29.3480438962181</v>
      </c>
    </row>
    <row r="41" customFormat="false" ht="15" hidden="false" customHeight="false" outlineLevel="0" collapsed="false">
      <c r="B41" s="20" t="s">
        <v>17</v>
      </c>
      <c r="C41" s="61" t="n">
        <f aca="false">C33/H12</f>
        <v>9.17900089808259</v>
      </c>
      <c r="F41" s="5" t="s">
        <v>257</v>
      </c>
    </row>
    <row r="43" customFormat="false" ht="15" hidden="false" customHeight="false" outlineLevel="0" collapsed="false">
      <c r="B43" s="18" t="s">
        <v>258</v>
      </c>
      <c r="C43" s="19"/>
      <c r="D43" s="19"/>
      <c r="E43" s="19"/>
      <c r="F43" s="19"/>
      <c r="G43" s="19"/>
      <c r="H43" s="19"/>
      <c r="I43" s="19"/>
      <c r="J43" s="19"/>
      <c r="K43" s="19"/>
      <c r="L43" s="19"/>
    </row>
    <row r="44" customFormat="false" ht="15" hidden="false" customHeight="false" outlineLevel="0" collapsed="false">
      <c r="B44" s="36" t="s">
        <v>259</v>
      </c>
      <c r="C44" s="52" t="n">
        <f aca="false">IRR(C22:AB22)</f>
        <v>0.105295933469601</v>
      </c>
      <c r="F44" s="5" t="s">
        <v>260</v>
      </c>
    </row>
    <row r="45" customFormat="false" ht="15" hidden="false" customHeight="false" outlineLevel="0" collapsed="false">
      <c r="B45" s="36" t="s">
        <v>261</v>
      </c>
      <c r="C45" s="52" t="n">
        <f aca="false">IRR(C23:AB23)</f>
        <v>0.146496387768279</v>
      </c>
      <c r="F45" s="5" t="s">
        <v>262</v>
      </c>
    </row>
    <row r="46" customFormat="false" ht="15" hidden="false" customHeight="false" outlineLevel="0" collapsed="false">
      <c r="B46" s="20" t="s">
        <v>263</v>
      </c>
      <c r="C46" s="62" t="n">
        <f aca="false">WACC!$C$22</f>
        <v>0.09356305</v>
      </c>
    </row>
    <row r="47" customFormat="false" ht="15" hidden="false" customHeight="false" outlineLevel="0" collapsed="false">
      <c r="B47" s="20" t="s">
        <v>264</v>
      </c>
      <c r="C47" s="62" t="n">
        <f aca="false">WACC!$C$11</f>
        <v>0.14225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2026-07-06T08:37:26Z</dcterms:created>
  <dc:creator>openpyxl</dc:creator>
  <dc:description/>
  <dc:language>en-US</dc:language>
  <cp:lastModifiedBy/>
  <dcterms:modified xsi:type="dcterms:W3CDTF">2026-07-06T08:37:52Z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